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7725" windowHeight="5940" tabRatio="735" activeTab="0"/>
  </bookViews>
  <sheets>
    <sheet name="2020一覧表 (12.6)" sheetId="1" r:id="rId1"/>
    <sheet name="2020一覧表" sheetId="2" r:id="rId2"/>
  </sheets>
  <definedNames/>
  <calcPr fullCalcOnLoad="1"/>
</workbook>
</file>

<file path=xl/comments1.xml><?xml version="1.0" encoding="utf-8"?>
<comments xmlns="http://schemas.openxmlformats.org/spreadsheetml/2006/main">
  <authors>
    <author>420395</author>
  </authors>
  <commentList>
    <comment ref="T30" authorId="0">
      <text>
        <r>
          <rPr>
            <b/>
            <sz val="9"/>
            <rFont val="ＭＳ Ｐゴシック"/>
            <family val="3"/>
          </rPr>
          <t>国からの正誤表により、990,463から修正</t>
        </r>
      </text>
    </comment>
    <comment ref="T34" authorId="0">
      <text>
        <r>
          <rPr>
            <b/>
            <sz val="9"/>
            <rFont val="ＭＳ Ｐゴシック"/>
            <family val="3"/>
          </rPr>
          <t>国からの正誤表により、254,769から修正</t>
        </r>
      </text>
    </comment>
  </commentList>
</comments>
</file>

<file path=xl/comments2.xml><?xml version="1.0" encoding="utf-8"?>
<comments xmlns="http://schemas.openxmlformats.org/spreadsheetml/2006/main">
  <authors>
    <author>420395</author>
  </authors>
  <commentList>
    <comment ref="T30" authorId="0">
      <text>
        <r>
          <rPr>
            <b/>
            <sz val="9"/>
            <rFont val="ＭＳ Ｐゴシック"/>
            <family val="3"/>
          </rPr>
          <t>国からの正誤表により、990,463から修正</t>
        </r>
      </text>
    </comment>
    <comment ref="T34" authorId="0">
      <text>
        <r>
          <rPr>
            <b/>
            <sz val="9"/>
            <rFont val="ＭＳ Ｐゴシック"/>
            <family val="3"/>
          </rPr>
          <t>国からの正誤表により、254,769から修正</t>
        </r>
      </text>
    </comment>
  </commentList>
</comments>
</file>

<file path=xl/sharedStrings.xml><?xml version="1.0" encoding="utf-8"?>
<sst xmlns="http://schemas.openxmlformats.org/spreadsheetml/2006/main" count="768" uniqueCount="150">
  <si>
    <t>農林業経営体</t>
  </si>
  <si>
    <t>経営体数</t>
  </si>
  <si>
    <t>0.3ｈａ未満</t>
  </si>
  <si>
    <t>計</t>
  </si>
  <si>
    <t>50万円未満</t>
  </si>
  <si>
    <t>（単位：経営体）</t>
  </si>
  <si>
    <t>50万円～100万円</t>
  </si>
  <si>
    <t>100万円～500万円</t>
  </si>
  <si>
    <t>500万円～1,000万円</t>
  </si>
  <si>
    <t>1,000万円～3,000万円</t>
  </si>
  <si>
    <t>3,000万円～5,000万円</t>
  </si>
  <si>
    <t>（小計）</t>
  </si>
  <si>
    <t>増減率（％）</t>
  </si>
  <si>
    <t>30.0ｈａ以上</t>
  </si>
  <si>
    <t>～</t>
  </si>
  <si>
    <t>10.0ｈａ</t>
  </si>
  <si>
    <t>30.0ｈａ</t>
  </si>
  <si>
    <t>借入耕地面積</t>
  </si>
  <si>
    <t>平均年齢</t>
  </si>
  <si>
    <t>農業経営体</t>
  </si>
  <si>
    <t>林業経営体</t>
  </si>
  <si>
    <t>差</t>
  </si>
  <si>
    <t>農事組合法人</t>
  </si>
  <si>
    <t>5,000万円～1億円</t>
  </si>
  <si>
    <t>5.0ｈａ未満</t>
  </si>
  <si>
    <t>常雇い</t>
  </si>
  <si>
    <t>臨時雇い</t>
  </si>
  <si>
    <t>（複数回答）</t>
  </si>
  <si>
    <t>田</t>
  </si>
  <si>
    <t>畑</t>
  </si>
  <si>
    <t>樹園地</t>
  </si>
  <si>
    <t>保有山林面積別
林業経営体数</t>
  </si>
  <si>
    <t>農産物の加工</t>
  </si>
  <si>
    <t>貸農園・体験農園等</t>
  </si>
  <si>
    <t>観光農園</t>
  </si>
  <si>
    <t>農家民宿</t>
  </si>
  <si>
    <t>総農家数等</t>
  </si>
  <si>
    <t>素材生産量（単位：㎥）</t>
  </si>
  <si>
    <t>計</t>
  </si>
  <si>
    <t>構成比（％）</t>
  </si>
  <si>
    <t>（注）端数処理および主要な項目を抜粋している箇所があるため、計と内訳の数字が一致しないことがある。</t>
  </si>
  <si>
    <t>（注）端数処理および主要な項目を抜粋しているため、計と内訳の数字が一致しない箇所がある。</t>
  </si>
  <si>
    <t>30～39歳</t>
  </si>
  <si>
    <t>40～49歳</t>
  </si>
  <si>
    <t>50～59歳</t>
  </si>
  <si>
    <t>60～64歳</t>
  </si>
  <si>
    <t>65歳以上</t>
  </si>
  <si>
    <t>A</t>
  </si>
  <si>
    <t>B</t>
  </si>
  <si>
    <t>A-B</t>
  </si>
  <si>
    <t>（A-B）÷B×100</t>
  </si>
  <si>
    <t>（※）</t>
  </si>
  <si>
    <t>C</t>
  </si>
  <si>
    <t>D</t>
  </si>
  <si>
    <t>C-D</t>
  </si>
  <si>
    <t>（C-D）÷D×100</t>
  </si>
  <si>
    <t>1.0ｈａ</t>
  </si>
  <si>
    <t>2.0ｈａ</t>
  </si>
  <si>
    <t>3.0ｈａ</t>
  </si>
  <si>
    <t>5.0ｈａ</t>
  </si>
  <si>
    <t>販売農家</t>
  </si>
  <si>
    <t>自給的農家</t>
  </si>
  <si>
    <t>土地持ち非農家</t>
  </si>
  <si>
    <t>15～29歳</t>
  </si>
  <si>
    <t>5.0ｈａ～10.0ha</t>
  </si>
  <si>
    <t>富　山　県　計</t>
  </si>
  <si>
    <t>1.0ｈａ未満</t>
  </si>
  <si>
    <t>10.0～</t>
  </si>
  <si>
    <t>10.0ｈａ～20.0ha</t>
  </si>
  <si>
    <t>20.0ｈａ～30.0ha</t>
  </si>
  <si>
    <t>30.0ｈａ～100.0ha</t>
  </si>
  <si>
    <t>100.0ha以上</t>
  </si>
  <si>
    <t>全　　国　　計</t>
  </si>
  <si>
    <t>農産物
販売金額規模別
農業経営体数</t>
  </si>
  <si>
    <t>経営耕地
面積規模別
農業経営体数</t>
  </si>
  <si>
    <t>（単位：人）</t>
  </si>
  <si>
    <t>農業労働力
（雇用者）</t>
  </si>
  <si>
    <t>基幹的
農業従事者数</t>
  </si>
  <si>
    <t>経営耕地・
借入耕地面積</t>
  </si>
  <si>
    <t>（農林業経営体数等）</t>
  </si>
  <si>
    <t>（販売農家数、農業労働力等）</t>
  </si>
  <si>
    <t>（経営耕地面積、林業経営体数等）</t>
  </si>
  <si>
    <t>（単位：経営体）</t>
  </si>
  <si>
    <t>（単位：戸）</t>
  </si>
  <si>
    <t>（単位：ｈａ）</t>
  </si>
  <si>
    <r>
      <t>農業生産関連事業</t>
    </r>
    <r>
      <rPr>
        <sz val="11"/>
        <rFont val="HGSｺﾞｼｯｸM"/>
        <family val="3"/>
      </rPr>
      <t xml:space="preserve">
事業種類別
農業経営体数</t>
    </r>
  </si>
  <si>
    <t>項　　　　　　　　　　目</t>
  </si>
  <si>
    <t>－</t>
  </si>
  <si>
    <t>総　農　家</t>
  </si>
  <si>
    <t>経営耕地
面積規模別面積</t>
  </si>
  <si>
    <t>経営耕地なし</t>
  </si>
  <si>
    <t>（※1）</t>
  </si>
  <si>
    <t>1経営体あたり面積（※2）</t>
  </si>
  <si>
    <t>2020年農林業センサス　農林業経営体調査　主要項目一覧表　（ 富 山 県 ）</t>
  </si>
  <si>
    <t>2020年農林業センサス　農林業経営体調査　主要項目一覧表　　（ 全　 国 ）</t>
  </si>
  <si>
    <t>令2（今回）</t>
  </si>
  <si>
    <t>平27（前回）</t>
  </si>
  <si>
    <t>個人経営体</t>
  </si>
  <si>
    <t>団体経営体</t>
  </si>
  <si>
    <t>法人</t>
  </si>
  <si>
    <t>会社法人</t>
  </si>
  <si>
    <t>その他</t>
  </si>
  <si>
    <t>1～5億円</t>
  </si>
  <si>
    <t>5億円以上</t>
  </si>
  <si>
    <t>1～5億円</t>
  </si>
  <si>
    <t>農産物販売金額
１位の部門別
農業経営体数</t>
  </si>
  <si>
    <t>農産物の販売のあった経営体　計</t>
  </si>
  <si>
    <t>稲作</t>
  </si>
  <si>
    <t>露地野菜</t>
  </si>
  <si>
    <t>施設野菜</t>
  </si>
  <si>
    <t>果樹類</t>
  </si>
  <si>
    <t>畜産</t>
  </si>
  <si>
    <t>農産物販売金額
１位の出荷先別
農業経営体数</t>
  </si>
  <si>
    <t>農協</t>
  </si>
  <si>
    <t>農協以外の集出荷団体</t>
  </si>
  <si>
    <t>卸売市場</t>
  </si>
  <si>
    <t>小売業者</t>
  </si>
  <si>
    <t>食品製造業・外食産業</t>
  </si>
  <si>
    <t>消費者に直接販売</t>
  </si>
  <si>
    <t>主副業別
農業経営体数</t>
  </si>
  <si>
    <t>（個人経営体）</t>
  </si>
  <si>
    <t>主業経営体</t>
  </si>
  <si>
    <t>準主業経営体</t>
  </si>
  <si>
    <t>副業的経営体</t>
  </si>
  <si>
    <t>農家レストラン</t>
  </si>
  <si>
    <t>小売業(消費者に直接販売)</t>
  </si>
  <si>
    <t>（※）構成比は、令2（今回）における農林業経営体数又は農業経営体数に占める該当項目の割合である。</t>
  </si>
  <si>
    <t>（※）構成比は、令2（今回）における農業経営体数、総農家数又は農業労働力に占める該当項目の割合である。</t>
  </si>
  <si>
    <t>（※1）構成比は、令2（今回）における基幹的農業従事者数、経営耕地面積又は林業経営体数に占める該当項目の
　　　割合である。
（※2）1経営体あたり面積＝経営耕地面積÷（農業経営体数－経営耕地のない農業経営体数）</t>
  </si>
  <si>
    <t>（※1）構成比は、令2（今回）における基幹的農業従事者数、経営耕地面積又は林業経営体数に占める該当項目の
　　　割合である。
（※2）1経営体あたり面積＝経営耕地面積÷（農業経営体数－経営耕地のない農業経営体数）</t>
  </si>
  <si>
    <t>農業経営体</t>
  </si>
  <si>
    <t>実経営体数</t>
  </si>
  <si>
    <t>実経営体数</t>
  </si>
  <si>
    <t>消費者に直接販売</t>
  </si>
  <si>
    <t>消費者に直接販売</t>
  </si>
  <si>
    <t>小売業</t>
  </si>
  <si>
    <t>50～54歳</t>
  </si>
  <si>
    <t>55～59歳</t>
  </si>
  <si>
    <t>65～69歳</t>
  </si>
  <si>
    <t>70～74歳</t>
  </si>
  <si>
    <t>75～79歳</t>
  </si>
  <si>
    <t>80歳以上</t>
  </si>
  <si>
    <t>30.0ｈａ～50.0ha</t>
  </si>
  <si>
    <t>50.0ｈａ～100.0ha</t>
  </si>
  <si>
    <t>保有山林なし</t>
  </si>
  <si>
    <t>農家民宿</t>
  </si>
  <si>
    <t>再生可能エネルギー発電</t>
  </si>
  <si>
    <t>海外への輸出</t>
  </si>
  <si>
    <t>…</t>
  </si>
  <si>
    <t>…</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</si>
</sst>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quot;△ &quot;#,##0.0"/>
    <numFmt numFmtId="178" formatCode="#,##0.0_ "/>
    <numFmt numFmtId="179" formatCode="0.0;&quot;△ &quot;0.0"/>
    <numFmt numFmtId="180" formatCode="0.0_ "/>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 ###\ ##0\ "/>
    <numFmt numFmtId="187" formatCode="#,##0.00_ "/>
    <numFmt numFmtId="188" formatCode="0;&quot;△ &quot;0"/>
    <numFmt numFmtId="189" formatCode="#,##0;&quot;△ &quot;#,##0"/>
    <numFmt numFmtId="190" formatCode="#,##0.00;&quot;△ &quot;#,##0.00"/>
    <numFmt numFmtId="191" formatCode="0_);[Red]\(0\)"/>
    <numFmt numFmtId="192" formatCode="#,##0_);[Red]\(#,##0\)"/>
    <numFmt numFmtId="193" formatCode="0.0_);[Red]\(0.0\)"/>
    <numFmt numFmtId="194" formatCode="* ###\ ###\ ##0_ ;_ * \-#\ ##0_ ;_ * &quot;-&quot;_ ;_ @_ "/>
    <numFmt numFmtId="195" formatCode="0.00_ "/>
    <numFmt numFmtId="196" formatCode="0.00\ "/>
    <numFmt numFmtId="197" formatCode="0.00_);[Red]\(0.00\)"/>
    <numFmt numFmtId="198" formatCode="#\ ###\ ###\ ##0"/>
    <numFmt numFmtId="199" formatCode="0.0"/>
    <numFmt numFmtId="200" formatCode="###.0"/>
    <numFmt numFmtId="201" formatCode="###\ ###\ ###\ "/>
    <numFmt numFmtId="202" formatCode="#\ ###\ ##0\ "/>
    <numFmt numFmtId="203" formatCode="[$-411]ge\.m\.d&quot;公表&quot;"/>
    <numFmt numFmtId="204" formatCode="[$]ggge&quot;年&quot;m&quot;月&quot;d&quot;日&quot;;@"/>
    <numFmt numFmtId="205" formatCode="[$-411]gge&quot;年&quot;m&quot;月&quot;d&quot;日&quot;;@"/>
    <numFmt numFmtId="206" formatCode="[$]gge&quot;年&quot;m&quot;月&quot;d&quot;日&quot;;@"/>
    <numFmt numFmtId="207" formatCode="#,##0.00000000_ "/>
  </numFmts>
  <fonts count="62">
    <font>
      <sz val="11"/>
      <name val="ＭＳ Ｐゴシック"/>
      <family val="3"/>
    </font>
    <font>
      <sz val="11"/>
      <name val="ＭＳ Ｐ明朝"/>
      <family val="1"/>
    </font>
    <font>
      <sz val="6"/>
      <name val="ＭＳ Ｐゴシック"/>
      <family val="3"/>
    </font>
    <font>
      <u val="single"/>
      <sz val="11"/>
      <color indexed="12"/>
      <name val="ＭＳ Ｐゴシック"/>
      <family val="3"/>
    </font>
    <font>
      <u val="single"/>
      <sz val="11"/>
      <color indexed="36"/>
      <name val="ＭＳ Ｐゴシック"/>
      <family val="3"/>
    </font>
    <font>
      <sz val="16"/>
      <name val="HGSｺﾞｼｯｸM"/>
      <family val="3"/>
    </font>
    <font>
      <sz val="11"/>
      <name val="HGSｺﾞｼｯｸM"/>
      <family val="3"/>
    </font>
    <font>
      <sz val="10"/>
      <name val="HGSｺﾞｼｯｸM"/>
      <family val="3"/>
    </font>
    <font>
      <b/>
      <sz val="16"/>
      <name val="HGSｺﾞｼｯｸM"/>
      <family val="3"/>
    </font>
    <font>
      <b/>
      <sz val="16"/>
      <name val="ＭＳ Ｐゴシック"/>
      <family val="3"/>
    </font>
    <font>
      <sz val="12"/>
      <name val="HGSｺﾞｼｯｸM"/>
      <family val="3"/>
    </font>
    <font>
      <sz val="12"/>
      <name val="ＭＳ Ｐゴシック"/>
      <family val="3"/>
    </font>
    <font>
      <b/>
      <sz val="9"/>
      <name val="ＭＳ Ｐゴシック"/>
      <family val="3"/>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8"/>
      <name val="HGｺﾞｼｯｸM"/>
      <family val="3"/>
    </font>
    <font>
      <sz val="10"/>
      <color indexed="8"/>
      <name val="HGｺﾞｼｯｸM"/>
      <family val="3"/>
    </font>
    <font>
      <sz val="9"/>
      <color indexed="8"/>
      <name val="HGｺﾞｼｯｸM"/>
      <family val="3"/>
    </font>
    <font>
      <sz val="11"/>
      <color indexed="8"/>
      <name val="HGSｺﾞｼｯｸM"/>
      <family val="3"/>
    </font>
    <font>
      <sz val="10"/>
      <color indexed="8"/>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theme="1"/>
      <name val="ＭＳ Ｐゴシック"/>
      <family val="3"/>
    </font>
    <font>
      <sz val="11"/>
      <color theme="1"/>
      <name val="HGｺﾞｼｯｸM"/>
      <family val="3"/>
    </font>
    <font>
      <sz val="10"/>
      <color theme="1"/>
      <name val="HGｺﾞｼｯｸM"/>
      <family val="3"/>
    </font>
    <font>
      <sz val="9"/>
      <color theme="1"/>
      <name val="HGｺﾞｼｯｸM"/>
      <family val="3"/>
    </font>
    <font>
      <sz val="11"/>
      <color theme="1"/>
      <name val="HGSｺﾞｼｯｸM"/>
      <family val="3"/>
    </font>
    <font>
      <sz val="10"/>
      <color theme="1"/>
      <name val="HGSｺﾞｼｯｸM"/>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style="medium"/>
      <right style="thin"/>
      <top>
        <color indexed="63"/>
      </top>
      <bottom>
        <color indexed="63"/>
      </bottom>
    </border>
    <border>
      <left style="thin"/>
      <right style="medium"/>
      <top style="thin"/>
      <bottom>
        <color indexed="63"/>
      </bottom>
    </border>
    <border>
      <left style="thin"/>
      <right style="thin"/>
      <top style="hair"/>
      <bottom style="hair"/>
    </border>
    <border>
      <left style="thin"/>
      <right>
        <color indexed="63"/>
      </right>
      <top style="hair"/>
      <bottom style="hair"/>
    </border>
    <border>
      <left style="medium"/>
      <right style="thin"/>
      <top style="hair"/>
      <bottom>
        <color indexed="63"/>
      </bottom>
    </border>
    <border>
      <left style="thin"/>
      <right>
        <color indexed="63"/>
      </right>
      <top style="hair"/>
      <bottom>
        <color indexed="63"/>
      </bottom>
    </border>
    <border>
      <left style="thin"/>
      <right style="medium"/>
      <top style="hair"/>
      <bottom style="hair"/>
    </border>
    <border>
      <left style="thin"/>
      <right style="thin"/>
      <top style="hair"/>
      <bottom>
        <color indexed="63"/>
      </bottom>
    </border>
    <border>
      <left style="medium"/>
      <right style="thin"/>
      <top style="hair"/>
      <bottom style="hair"/>
    </border>
    <border>
      <left style="thin"/>
      <right style="medium"/>
      <top>
        <color indexed="63"/>
      </top>
      <bottom>
        <color indexed="63"/>
      </bottom>
    </border>
    <border>
      <left style="medium"/>
      <right>
        <color indexed="63"/>
      </right>
      <top style="double"/>
      <bottom>
        <color indexed="63"/>
      </bottom>
    </border>
    <border>
      <left style="thin"/>
      <right style="thin"/>
      <top style="double"/>
      <bottom style="hair"/>
    </border>
    <border>
      <left style="thin"/>
      <right>
        <color indexed="63"/>
      </right>
      <top style="double"/>
      <bottom>
        <color indexed="63"/>
      </bottom>
    </border>
    <border>
      <left style="medium"/>
      <right style="thin"/>
      <top style="double"/>
      <bottom>
        <color indexed="63"/>
      </bottom>
    </border>
    <border>
      <left style="thin"/>
      <right style="medium"/>
      <top style="double"/>
      <bottom>
        <color indexed="63"/>
      </bottom>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color indexed="63"/>
      </top>
      <bottom style="hair"/>
    </border>
    <border>
      <left style="thin"/>
      <right style="thin"/>
      <top>
        <color indexed="63"/>
      </top>
      <bottom style="hair"/>
    </border>
    <border>
      <left style="thin"/>
      <right>
        <color indexed="63"/>
      </right>
      <top>
        <color indexed="63"/>
      </top>
      <bottom style="hair"/>
    </border>
    <border>
      <left style="medium"/>
      <right>
        <color indexed="63"/>
      </right>
      <top style="hair"/>
      <bottom style="hair"/>
    </border>
    <border>
      <left style="thin"/>
      <right style="thin"/>
      <top>
        <color indexed="63"/>
      </top>
      <bottom>
        <color indexed="63"/>
      </bottom>
    </border>
    <border>
      <left style="medium"/>
      <right>
        <color indexed="63"/>
      </right>
      <top>
        <color indexed="63"/>
      </top>
      <bottom>
        <color indexed="63"/>
      </bottom>
    </border>
    <border>
      <left style="medium"/>
      <right style="thin"/>
      <top style="thin"/>
      <bottom style="double"/>
    </border>
    <border>
      <left style="thin"/>
      <right style="thin"/>
      <top style="thin"/>
      <bottom style="double"/>
    </border>
    <border>
      <left style="thin"/>
      <right>
        <color indexed="63"/>
      </right>
      <top style="thin"/>
      <bottom style="double"/>
    </border>
    <border>
      <left style="medium"/>
      <right>
        <color indexed="63"/>
      </right>
      <top style="thin"/>
      <bottom style="double"/>
    </border>
    <border>
      <left style="thin"/>
      <right>
        <color indexed="63"/>
      </right>
      <top style="double"/>
      <bottom style="hair"/>
    </border>
    <border>
      <left style="thin"/>
      <right style="medium"/>
      <top style="double"/>
      <bottom style="hair"/>
    </border>
    <border>
      <left style="medium"/>
      <right style="thin"/>
      <top style="hair"/>
      <bottom style="double"/>
    </border>
    <border>
      <left style="thin"/>
      <right style="thin"/>
      <top style="hair"/>
      <bottom style="double"/>
    </border>
    <border>
      <left style="thin"/>
      <right>
        <color indexed="63"/>
      </right>
      <top style="hair"/>
      <bottom style="double"/>
    </border>
    <border>
      <left style="thin"/>
      <right style="medium"/>
      <top style="hair"/>
      <bottom style="double"/>
    </border>
    <border>
      <left style="medium"/>
      <right style="thin"/>
      <top style="thin"/>
      <bottom>
        <color indexed="63"/>
      </bottom>
    </border>
    <border>
      <left style="thin"/>
      <right style="thin"/>
      <top style="thin"/>
      <bottom>
        <color indexed="63"/>
      </bottom>
    </border>
    <border>
      <left style="medium"/>
      <right style="thin"/>
      <top>
        <color indexed="63"/>
      </top>
      <bottom style="double"/>
    </border>
    <border>
      <left style="thin"/>
      <right style="thin"/>
      <top>
        <color indexed="63"/>
      </top>
      <bottom style="double"/>
    </border>
    <border>
      <left style="thin"/>
      <right>
        <color indexed="63"/>
      </right>
      <top>
        <color indexed="63"/>
      </top>
      <bottom style="double"/>
    </border>
    <border>
      <left style="medium"/>
      <right style="thin"/>
      <top style="thin"/>
      <bottom style="hair"/>
    </border>
    <border>
      <left style="thin"/>
      <right style="thin"/>
      <top style="thin"/>
      <bottom style="hair"/>
    </border>
    <border>
      <left style="medium"/>
      <right style="thin"/>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style="hair"/>
      <bottom style="hair"/>
    </border>
    <border>
      <left>
        <color indexed="63"/>
      </left>
      <right style="thin"/>
      <top>
        <color indexed="63"/>
      </top>
      <bottom style="thin"/>
    </border>
    <border>
      <left style="thin"/>
      <right style="thin"/>
      <top style="double"/>
      <bottom>
        <color indexed="63"/>
      </bottom>
    </border>
    <border>
      <left style="medium"/>
      <right>
        <color indexed="63"/>
      </right>
      <top style="double"/>
      <bottom style="hair"/>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thin"/>
      <top style="double"/>
      <bottom style="medium"/>
    </border>
    <border>
      <left style="thin"/>
      <right>
        <color indexed="63"/>
      </right>
      <top style="double"/>
      <bottom style="medium"/>
    </border>
    <border>
      <left style="medium"/>
      <right style="thin"/>
      <top style="double"/>
      <bottom style="medium"/>
    </border>
    <border>
      <left style="thin"/>
      <right style="medium"/>
      <top style="double"/>
      <bottom style="medium"/>
    </border>
    <border>
      <left>
        <color indexed="63"/>
      </left>
      <right>
        <color indexed="63"/>
      </right>
      <top>
        <color indexed="63"/>
      </top>
      <bottom style="medium"/>
    </border>
    <border>
      <left style="thin"/>
      <right style="medium"/>
      <top>
        <color indexed="63"/>
      </top>
      <bottom style="double"/>
    </border>
    <border>
      <left>
        <color indexed="63"/>
      </left>
      <right style="medium"/>
      <top>
        <color indexed="63"/>
      </top>
      <bottom>
        <color indexed="63"/>
      </bottom>
    </border>
    <border>
      <left style="thin"/>
      <right style="medium"/>
      <top style="hair"/>
      <bottom style="medium"/>
    </border>
    <border>
      <left style="medium"/>
      <right style="thin"/>
      <top style="hair"/>
      <bottom style="medium"/>
    </border>
    <border>
      <left style="thin"/>
      <right>
        <color indexed="63"/>
      </right>
      <top style="hair"/>
      <bottom style="medium"/>
    </border>
    <border>
      <left style="thin"/>
      <right style="thin"/>
      <top style="hair"/>
      <bottom style="medium"/>
    </border>
    <border>
      <left style="medium"/>
      <right>
        <color indexed="63"/>
      </right>
      <top>
        <color indexed="63"/>
      </top>
      <bottom style="thin"/>
    </border>
    <border>
      <left style="medium"/>
      <right style="thin"/>
      <top style="double"/>
      <bottom style="hair"/>
    </border>
    <border>
      <left>
        <color indexed="63"/>
      </left>
      <right>
        <color indexed="63"/>
      </right>
      <top style="hair"/>
      <bottom>
        <color indexed="63"/>
      </bottom>
    </border>
    <border>
      <left>
        <color indexed="63"/>
      </left>
      <right style="medium"/>
      <top style="hair"/>
      <bottom>
        <color indexed="63"/>
      </bottom>
    </border>
    <border>
      <left style="hair"/>
      <right>
        <color indexed="63"/>
      </right>
      <top>
        <color indexed="63"/>
      </top>
      <bottom>
        <color indexed="63"/>
      </bottom>
    </border>
    <border>
      <left style="thin"/>
      <right style="hair"/>
      <top>
        <color indexed="63"/>
      </top>
      <bottom>
        <color indexed="63"/>
      </bottom>
    </border>
    <border>
      <left style="hair"/>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style="double"/>
    </border>
    <border>
      <left>
        <color indexed="63"/>
      </left>
      <right style="medium"/>
      <top style="hair"/>
      <bottom style="double"/>
    </border>
    <border>
      <left style="medium"/>
      <right>
        <color indexed="63"/>
      </right>
      <top>
        <color indexed="63"/>
      </top>
      <bottom style="double"/>
    </border>
    <border>
      <left style="hair"/>
      <right>
        <color indexed="63"/>
      </right>
      <top style="hair"/>
      <bottom style="double"/>
    </border>
    <border>
      <left>
        <color indexed="63"/>
      </left>
      <right>
        <color indexed="63"/>
      </right>
      <top>
        <color indexed="63"/>
      </top>
      <bottom style="double"/>
    </border>
    <border>
      <left>
        <color indexed="63"/>
      </left>
      <right style="medium"/>
      <top>
        <color indexed="63"/>
      </top>
      <bottom style="double"/>
    </border>
    <border>
      <left style="thin"/>
      <right style="hair"/>
      <top>
        <color indexed="63"/>
      </top>
      <bottom style="double"/>
    </border>
    <border>
      <left style="medium"/>
      <right>
        <color indexed="63"/>
      </right>
      <top style="thin"/>
      <bottom style="thin"/>
    </border>
    <border>
      <left style="hair"/>
      <right style="hair"/>
      <top>
        <color indexed="63"/>
      </top>
      <bottom>
        <color indexed="63"/>
      </bottom>
    </border>
    <border>
      <left style="hair"/>
      <right style="medium"/>
      <top style="hair"/>
      <bottom>
        <color indexed="63"/>
      </bottom>
    </border>
    <border>
      <left style="hair"/>
      <right style="medium"/>
      <top style="hair"/>
      <bottom style="hair"/>
    </border>
    <border>
      <left style="hair"/>
      <right style="hair"/>
      <top>
        <color indexed="63"/>
      </top>
      <bottom style="double"/>
    </border>
    <border>
      <left>
        <color indexed="63"/>
      </left>
      <right style="thin"/>
      <top style="double"/>
      <bottom style="hair"/>
    </border>
    <border>
      <left style="hair"/>
      <right style="hair"/>
      <top style="hair"/>
      <bottom>
        <color indexed="63"/>
      </bottom>
    </border>
    <border>
      <left style="medium"/>
      <right>
        <color indexed="63"/>
      </right>
      <top>
        <color indexed="63"/>
      </top>
      <bottom style="medium"/>
    </border>
    <border>
      <left style="thin"/>
      <right>
        <color indexed="63"/>
      </right>
      <top>
        <color indexed="63"/>
      </top>
      <bottom style="mediu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thin"/>
      <top>
        <color indexed="63"/>
      </top>
      <bottom style="mediu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color indexed="63"/>
      </right>
      <top style="double"/>
      <bottom style="hair"/>
    </border>
    <border>
      <left>
        <color indexed="63"/>
      </left>
      <right style="medium"/>
      <top style="double"/>
      <bottom style="hair"/>
    </border>
    <border>
      <left style="thin"/>
      <right style="hair"/>
      <top>
        <color indexed="63"/>
      </top>
      <bottom style="hair"/>
    </border>
    <border>
      <left style="thin"/>
      <right style="hair"/>
      <top style="hair"/>
      <bottom style="hair"/>
    </border>
    <border>
      <left style="thin"/>
      <right style="hair"/>
      <top style="hair"/>
      <bottom style="double"/>
    </border>
    <border>
      <left style="thin"/>
      <right style="hair"/>
      <top style="hair"/>
      <bottom style="medium"/>
    </border>
    <border>
      <left style="hair"/>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style="thin"/>
      <bottom style="thin"/>
    </border>
    <border>
      <left>
        <color indexed="63"/>
      </left>
      <right>
        <color indexed="63"/>
      </right>
      <top style="thin"/>
      <bottom style="thin"/>
    </border>
    <border>
      <left>
        <color indexed="63"/>
      </left>
      <right style="medium"/>
      <top style="thin"/>
      <bottom style="thin"/>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style="hair"/>
      <right>
        <color indexed="63"/>
      </right>
      <top>
        <color indexed="63"/>
      </top>
      <bottom style="double"/>
    </border>
    <border>
      <left>
        <color indexed="63"/>
      </left>
      <right>
        <color indexed="63"/>
      </right>
      <top style="double"/>
      <bottom style="medium"/>
    </border>
    <border>
      <left>
        <color indexed="63"/>
      </left>
      <right style="medium"/>
      <top style="double"/>
      <bottom style="medium"/>
    </border>
    <border>
      <left style="hair"/>
      <right>
        <color indexed="63"/>
      </right>
      <top style="thin"/>
      <bottom style="hair"/>
    </border>
    <border>
      <left>
        <color indexed="63"/>
      </left>
      <right>
        <color indexed="63"/>
      </right>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4" fillId="0" borderId="0" applyNumberFormat="0" applyFill="0" applyBorder="0" applyAlignment="0" applyProtection="0"/>
    <xf numFmtId="0" fontId="53" fillId="32" borderId="0" applyNumberFormat="0" applyBorder="0" applyAlignment="0" applyProtection="0"/>
  </cellStyleXfs>
  <cellXfs count="502">
    <xf numFmtId="0" fontId="0" fillId="0" borderId="0" xfId="0" applyAlignment="1">
      <alignment vertical="center"/>
    </xf>
    <xf numFmtId="176" fontId="1" fillId="0" borderId="0" xfId="0" applyNumberFormat="1" applyFont="1" applyAlignment="1">
      <alignment vertical="center"/>
    </xf>
    <xf numFmtId="176" fontId="5" fillId="0" borderId="0" xfId="0" applyNumberFormat="1" applyFont="1" applyAlignment="1">
      <alignment vertical="center"/>
    </xf>
    <xf numFmtId="176" fontId="6" fillId="0" borderId="0" xfId="0" applyNumberFormat="1" applyFont="1" applyAlignment="1">
      <alignment vertical="center"/>
    </xf>
    <xf numFmtId="189" fontId="6" fillId="0" borderId="10" xfId="0" applyNumberFormat="1" applyFont="1" applyFill="1" applyBorder="1" applyAlignment="1">
      <alignment vertical="center"/>
    </xf>
    <xf numFmtId="177" fontId="6" fillId="0" borderId="10" xfId="0" applyNumberFormat="1" applyFont="1" applyFill="1" applyBorder="1" applyAlignment="1">
      <alignment vertical="center"/>
    </xf>
    <xf numFmtId="177" fontId="7" fillId="0" borderId="11" xfId="0" applyNumberFormat="1" applyFont="1" applyFill="1" applyBorder="1" applyAlignment="1">
      <alignment vertical="center"/>
    </xf>
    <xf numFmtId="176" fontId="6" fillId="0" borderId="12" xfId="0" applyNumberFormat="1" applyFont="1" applyFill="1" applyBorder="1" applyAlignment="1">
      <alignment horizontal="right" vertical="center"/>
    </xf>
    <xf numFmtId="189" fontId="6" fillId="0" borderId="10" xfId="0" applyNumberFormat="1" applyFont="1" applyFill="1" applyBorder="1" applyAlignment="1">
      <alignment vertical="center" shrinkToFit="1"/>
    </xf>
    <xf numFmtId="177" fontId="7" fillId="0" borderId="13" xfId="0" applyNumberFormat="1" applyFont="1" applyFill="1" applyBorder="1" applyAlignment="1">
      <alignment vertical="center"/>
    </xf>
    <xf numFmtId="189" fontId="6" fillId="0" borderId="14" xfId="0" applyNumberFormat="1" applyFont="1" applyFill="1" applyBorder="1" applyAlignment="1">
      <alignment vertical="center"/>
    </xf>
    <xf numFmtId="177" fontId="7" fillId="0" borderId="15" xfId="0" applyNumberFormat="1" applyFont="1" applyFill="1" applyBorder="1" applyAlignment="1">
      <alignment vertical="center"/>
    </xf>
    <xf numFmtId="176" fontId="6" fillId="0" borderId="16" xfId="0" applyNumberFormat="1" applyFont="1" applyFill="1" applyBorder="1" applyAlignment="1">
      <alignment horizontal="right" vertical="center"/>
    </xf>
    <xf numFmtId="176" fontId="6" fillId="0" borderId="17" xfId="0" applyNumberFormat="1" applyFont="1" applyFill="1" applyBorder="1" applyAlignment="1">
      <alignment horizontal="right" vertical="center"/>
    </xf>
    <xf numFmtId="189" fontId="6" fillId="0" borderId="14" xfId="0" applyNumberFormat="1" applyFont="1" applyFill="1" applyBorder="1" applyAlignment="1">
      <alignment vertical="center" shrinkToFit="1"/>
    </xf>
    <xf numFmtId="177" fontId="6" fillId="0" borderId="15" xfId="0" applyNumberFormat="1" applyFont="1" applyFill="1" applyBorder="1" applyAlignment="1">
      <alignment vertical="center"/>
    </xf>
    <xf numFmtId="177" fontId="7" fillId="0" borderId="18" xfId="0" applyNumberFormat="1" applyFont="1" applyFill="1" applyBorder="1" applyAlignment="1">
      <alignment vertical="center"/>
    </xf>
    <xf numFmtId="176" fontId="7" fillId="0" borderId="19" xfId="0" applyNumberFormat="1" applyFont="1" applyFill="1" applyBorder="1" applyAlignment="1">
      <alignment vertical="center"/>
    </xf>
    <xf numFmtId="189" fontId="7" fillId="0" borderId="14" xfId="0" applyNumberFormat="1" applyFont="1" applyFill="1" applyBorder="1" applyAlignment="1">
      <alignment vertical="center"/>
    </xf>
    <xf numFmtId="177" fontId="7" fillId="0" borderId="17" xfId="0" applyNumberFormat="1" applyFont="1" applyFill="1" applyBorder="1" applyAlignment="1">
      <alignment vertical="center"/>
    </xf>
    <xf numFmtId="176" fontId="7" fillId="0" borderId="16" xfId="0" applyNumberFormat="1" applyFont="1" applyFill="1" applyBorder="1" applyAlignment="1">
      <alignment horizontal="right" vertical="center"/>
    </xf>
    <xf numFmtId="176" fontId="7" fillId="0" borderId="17" xfId="0" applyNumberFormat="1" applyFont="1" applyFill="1" applyBorder="1" applyAlignment="1">
      <alignment horizontal="right" vertical="center"/>
    </xf>
    <xf numFmtId="189" fontId="7" fillId="0" borderId="14" xfId="0" applyNumberFormat="1" applyFont="1" applyFill="1" applyBorder="1" applyAlignment="1">
      <alignment vertical="center" shrinkToFit="1"/>
    </xf>
    <xf numFmtId="189" fontId="7" fillId="0" borderId="14" xfId="0" applyNumberFormat="1" applyFont="1" applyFill="1" applyBorder="1" applyAlignment="1">
      <alignment vertical="center"/>
    </xf>
    <xf numFmtId="176" fontId="7" fillId="0" borderId="20" xfId="0" applyNumberFormat="1" applyFont="1" applyFill="1" applyBorder="1" applyAlignment="1">
      <alignment horizontal="right" vertical="center"/>
    </xf>
    <xf numFmtId="176" fontId="7" fillId="0" borderId="15" xfId="0" applyNumberFormat="1" applyFont="1" applyFill="1" applyBorder="1" applyAlignment="1">
      <alignment horizontal="right" vertical="center"/>
    </xf>
    <xf numFmtId="189" fontId="7" fillId="0" borderId="10" xfId="0" applyNumberFormat="1" applyFont="1" applyFill="1" applyBorder="1" applyAlignment="1">
      <alignment vertical="center"/>
    </xf>
    <xf numFmtId="177" fontId="7" fillId="0" borderId="10" xfId="0" applyNumberFormat="1" applyFont="1" applyFill="1" applyBorder="1" applyAlignment="1">
      <alignment vertical="center"/>
    </xf>
    <xf numFmtId="177" fontId="7" fillId="0" borderId="21" xfId="0" applyNumberFormat="1" applyFont="1" applyFill="1" applyBorder="1" applyAlignment="1">
      <alignment vertical="center"/>
    </xf>
    <xf numFmtId="176" fontId="6" fillId="0" borderId="22" xfId="0" applyNumberFormat="1" applyFont="1" applyFill="1" applyBorder="1" applyAlignment="1">
      <alignment vertical="center" shrinkToFit="1"/>
    </xf>
    <xf numFmtId="176" fontId="6" fillId="0" borderId="23" xfId="0" applyNumberFormat="1" applyFont="1" applyFill="1" applyBorder="1" applyAlignment="1">
      <alignment vertical="center" shrinkToFit="1"/>
    </xf>
    <xf numFmtId="189" fontId="6" fillId="0" borderId="24" xfId="0" applyNumberFormat="1" applyFont="1" applyFill="1" applyBorder="1" applyAlignment="1">
      <alignment vertical="center"/>
    </xf>
    <xf numFmtId="177" fontId="6" fillId="0" borderId="24" xfId="0" applyNumberFormat="1" applyFont="1" applyFill="1" applyBorder="1" applyAlignment="1">
      <alignment vertical="center" shrinkToFit="1"/>
    </xf>
    <xf numFmtId="177" fontId="7" fillId="0" borderId="24" xfId="0" applyNumberFormat="1" applyFont="1" applyFill="1" applyBorder="1" applyAlignment="1">
      <alignment vertical="center"/>
    </xf>
    <xf numFmtId="176" fontId="6" fillId="0" borderId="25" xfId="0" applyNumberFormat="1" applyFont="1" applyFill="1" applyBorder="1" applyAlignment="1">
      <alignment horizontal="right" vertical="center" shrinkToFit="1"/>
    </xf>
    <xf numFmtId="176" fontId="6" fillId="0" borderId="24" xfId="0" applyNumberFormat="1" applyFont="1" applyFill="1" applyBorder="1" applyAlignment="1">
      <alignment horizontal="right" vertical="center" shrinkToFit="1"/>
    </xf>
    <xf numFmtId="189" fontId="6" fillId="0" borderId="24" xfId="0" applyNumberFormat="1" applyFont="1" applyFill="1" applyBorder="1" applyAlignment="1">
      <alignment vertical="center" shrinkToFit="1"/>
    </xf>
    <xf numFmtId="177" fontId="6" fillId="0" borderId="24" xfId="0" applyNumberFormat="1" applyFont="1" applyFill="1" applyBorder="1" applyAlignment="1">
      <alignment vertical="center"/>
    </xf>
    <xf numFmtId="177" fontId="7" fillId="0" borderId="26" xfId="0" applyNumberFormat="1" applyFont="1" applyFill="1" applyBorder="1" applyAlignment="1">
      <alignment vertical="center"/>
    </xf>
    <xf numFmtId="176" fontId="7" fillId="0" borderId="16" xfId="0" applyNumberFormat="1" applyFont="1" applyFill="1" applyBorder="1" applyAlignment="1">
      <alignment vertical="center"/>
    </xf>
    <xf numFmtId="176" fontId="7" fillId="0" borderId="14" xfId="0" applyNumberFormat="1" applyFont="1" applyFill="1" applyBorder="1" applyAlignment="1">
      <alignment vertical="center"/>
    </xf>
    <xf numFmtId="176" fontId="7" fillId="0" borderId="20" xfId="0" applyNumberFormat="1" applyFont="1" applyFill="1" applyBorder="1" applyAlignment="1">
      <alignment vertical="center"/>
    </xf>
    <xf numFmtId="177" fontId="7" fillId="0" borderId="27" xfId="0" applyNumberFormat="1" applyFont="1" applyFill="1" applyBorder="1" applyAlignment="1">
      <alignment vertical="center"/>
    </xf>
    <xf numFmtId="189" fontId="7" fillId="0" borderId="10" xfId="0" applyNumberFormat="1" applyFont="1" applyFill="1" applyBorder="1" applyAlignment="1">
      <alignment vertical="center" shrinkToFit="1"/>
    </xf>
    <xf numFmtId="177" fontId="7" fillId="0" borderId="28" xfId="0" applyNumberFormat="1" applyFont="1" applyFill="1" applyBorder="1" applyAlignment="1">
      <alignment vertical="center"/>
    </xf>
    <xf numFmtId="176" fontId="7" fillId="0" borderId="29" xfId="0" applyNumberFormat="1" applyFont="1" applyFill="1" applyBorder="1" applyAlignment="1">
      <alignment vertical="center" shrinkToFit="1"/>
    </xf>
    <xf numFmtId="176" fontId="7" fillId="0" borderId="30" xfId="0" applyNumberFormat="1" applyFont="1" applyFill="1" applyBorder="1" applyAlignment="1">
      <alignment vertical="center" shrinkToFit="1"/>
    </xf>
    <xf numFmtId="189" fontId="7" fillId="0" borderId="30" xfId="0" applyNumberFormat="1" applyFont="1" applyFill="1" applyBorder="1" applyAlignment="1">
      <alignment vertical="center"/>
    </xf>
    <xf numFmtId="177" fontId="7" fillId="0" borderId="31" xfId="0" applyNumberFormat="1" applyFont="1" applyFill="1" applyBorder="1" applyAlignment="1">
      <alignment vertical="center" shrinkToFit="1"/>
    </xf>
    <xf numFmtId="177" fontId="7" fillId="0" borderId="31" xfId="0" applyNumberFormat="1" applyFont="1" applyFill="1" applyBorder="1" applyAlignment="1">
      <alignment vertical="center"/>
    </xf>
    <xf numFmtId="176" fontId="7" fillId="0" borderId="29" xfId="0" applyNumberFormat="1" applyFont="1" applyFill="1" applyBorder="1" applyAlignment="1">
      <alignment horizontal="right" vertical="center" shrinkToFit="1"/>
    </xf>
    <xf numFmtId="176" fontId="7" fillId="0" borderId="31" xfId="0" applyNumberFormat="1" applyFont="1" applyFill="1" applyBorder="1" applyAlignment="1">
      <alignment horizontal="right" vertical="center" shrinkToFit="1"/>
    </xf>
    <xf numFmtId="189" fontId="7" fillId="0" borderId="30" xfId="0" applyNumberFormat="1" applyFont="1" applyFill="1" applyBorder="1" applyAlignment="1">
      <alignment vertical="center" shrinkToFit="1"/>
    </xf>
    <xf numFmtId="177" fontId="7" fillId="0" borderId="32" xfId="0" applyNumberFormat="1" applyFont="1" applyFill="1" applyBorder="1" applyAlignment="1">
      <alignment vertical="center"/>
    </xf>
    <xf numFmtId="176" fontId="7" fillId="0" borderId="33" xfId="0" applyNumberFormat="1" applyFont="1" applyFill="1" applyBorder="1" applyAlignment="1">
      <alignment vertical="center"/>
    </xf>
    <xf numFmtId="176" fontId="7" fillId="0" borderId="34" xfId="0" applyNumberFormat="1" applyFont="1" applyFill="1" applyBorder="1" applyAlignment="1">
      <alignment vertical="center"/>
    </xf>
    <xf numFmtId="176" fontId="7" fillId="0" borderId="33" xfId="0" applyNumberFormat="1" applyFont="1" applyFill="1" applyBorder="1" applyAlignment="1">
      <alignment horizontal="right" vertical="center"/>
    </xf>
    <xf numFmtId="176" fontId="7" fillId="0" borderId="35" xfId="0" applyNumberFormat="1" applyFont="1" applyFill="1" applyBorder="1" applyAlignment="1">
      <alignment horizontal="right" vertical="center"/>
    </xf>
    <xf numFmtId="176" fontId="7" fillId="0" borderId="36" xfId="0" applyNumberFormat="1" applyFont="1" applyFill="1" applyBorder="1" applyAlignment="1">
      <alignment horizontal="right" vertical="center"/>
    </xf>
    <xf numFmtId="176" fontId="7" fillId="0" borderId="14" xfId="0" applyNumberFormat="1" applyFont="1" applyFill="1" applyBorder="1" applyAlignment="1">
      <alignment horizontal="right" vertical="center"/>
    </xf>
    <xf numFmtId="176" fontId="7" fillId="0" borderId="12" xfId="0" applyNumberFormat="1" applyFont="1" applyFill="1" applyBorder="1" applyAlignment="1">
      <alignment vertical="center"/>
    </xf>
    <xf numFmtId="176" fontId="7" fillId="0" borderId="37" xfId="0" applyNumberFormat="1" applyFont="1" applyFill="1" applyBorder="1" applyAlignment="1">
      <alignment vertical="center"/>
    </xf>
    <xf numFmtId="176" fontId="7" fillId="0" borderId="38" xfId="0" applyNumberFormat="1" applyFont="1" applyFill="1" applyBorder="1" applyAlignment="1">
      <alignment horizontal="right" vertical="center"/>
    </xf>
    <xf numFmtId="176" fontId="7" fillId="0" borderId="37" xfId="0" applyNumberFormat="1" applyFont="1" applyFill="1" applyBorder="1" applyAlignment="1">
      <alignment horizontal="right" vertical="center"/>
    </xf>
    <xf numFmtId="176" fontId="7" fillId="0" borderId="39" xfId="0" applyNumberFormat="1" applyFont="1" applyFill="1" applyBorder="1" applyAlignment="1">
      <alignment vertical="center" shrinkToFit="1"/>
    </xf>
    <xf numFmtId="176" fontId="7" fillId="0" borderId="40" xfId="0" applyNumberFormat="1" applyFont="1" applyFill="1" applyBorder="1" applyAlignment="1">
      <alignment vertical="center" shrinkToFit="1"/>
    </xf>
    <xf numFmtId="189" fontId="7" fillId="0" borderId="40" xfId="0" applyNumberFormat="1" applyFont="1" applyFill="1" applyBorder="1" applyAlignment="1">
      <alignment vertical="center"/>
    </xf>
    <xf numFmtId="177" fontId="7" fillId="0" borderId="41" xfId="0" applyNumberFormat="1" applyFont="1" applyFill="1" applyBorder="1" applyAlignment="1">
      <alignment vertical="center" shrinkToFit="1"/>
    </xf>
    <xf numFmtId="176" fontId="7" fillId="0" borderId="42" xfId="0" applyNumberFormat="1" applyFont="1" applyFill="1" applyBorder="1" applyAlignment="1">
      <alignment horizontal="right" vertical="center" shrinkToFit="1"/>
    </xf>
    <xf numFmtId="176" fontId="7" fillId="0" borderId="40" xfId="0" applyNumberFormat="1" applyFont="1" applyFill="1" applyBorder="1" applyAlignment="1">
      <alignment horizontal="right" vertical="center" shrinkToFit="1"/>
    </xf>
    <xf numFmtId="189" fontId="7" fillId="0" borderId="40" xfId="0" applyNumberFormat="1" applyFont="1" applyFill="1" applyBorder="1" applyAlignment="1">
      <alignment vertical="center" shrinkToFit="1"/>
    </xf>
    <xf numFmtId="177" fontId="7" fillId="0" borderId="41" xfId="0" applyNumberFormat="1" applyFont="1" applyFill="1" applyBorder="1" applyAlignment="1">
      <alignment vertical="center"/>
    </xf>
    <xf numFmtId="176" fontId="6" fillId="0" borderId="34" xfId="0" applyNumberFormat="1" applyFont="1" applyFill="1" applyBorder="1" applyAlignment="1">
      <alignment vertical="center" shrinkToFit="1"/>
    </xf>
    <xf numFmtId="177" fontId="6" fillId="0" borderId="10" xfId="0" applyNumberFormat="1" applyFont="1" applyFill="1" applyBorder="1" applyAlignment="1">
      <alignment vertical="center" shrinkToFit="1"/>
    </xf>
    <xf numFmtId="177" fontId="7" fillId="0" borderId="43" xfId="0" applyNumberFormat="1" applyFont="1" applyFill="1" applyBorder="1" applyAlignment="1">
      <alignment vertical="center"/>
    </xf>
    <xf numFmtId="176" fontId="6" fillId="0" borderId="12" xfId="0" applyNumberFormat="1" applyFont="1" applyFill="1" applyBorder="1" applyAlignment="1">
      <alignment horizontal="right" vertical="center" shrinkToFit="1"/>
    </xf>
    <xf numFmtId="176" fontId="6" fillId="0" borderId="10" xfId="0" applyNumberFormat="1" applyFont="1" applyFill="1" applyBorder="1" applyAlignment="1">
      <alignment horizontal="right" vertical="center" shrinkToFit="1"/>
    </xf>
    <xf numFmtId="177" fontId="7" fillId="0" borderId="44" xfId="0" applyNumberFormat="1" applyFont="1" applyFill="1" applyBorder="1" applyAlignment="1">
      <alignment vertical="center"/>
    </xf>
    <xf numFmtId="189" fontId="7" fillId="0" borderId="19" xfId="0" applyNumberFormat="1" applyFont="1" applyFill="1" applyBorder="1" applyAlignment="1">
      <alignment vertical="center" shrinkToFit="1"/>
    </xf>
    <xf numFmtId="176" fontId="7" fillId="0" borderId="45" xfId="0" applyNumberFormat="1" applyFont="1" applyFill="1" applyBorder="1" applyAlignment="1">
      <alignment vertical="center"/>
    </xf>
    <xf numFmtId="176" fontId="7" fillId="0" borderId="46" xfId="0" applyNumberFormat="1" applyFont="1" applyFill="1" applyBorder="1" applyAlignment="1">
      <alignment vertical="center"/>
    </xf>
    <xf numFmtId="189" fontId="7" fillId="0" borderId="46" xfId="0" applyNumberFormat="1" applyFont="1" applyFill="1" applyBorder="1" applyAlignment="1">
      <alignment vertical="center"/>
    </xf>
    <xf numFmtId="177" fontId="7" fillId="0" borderId="47" xfId="0" applyNumberFormat="1" applyFont="1" applyFill="1" applyBorder="1" applyAlignment="1">
      <alignment vertical="center"/>
    </xf>
    <xf numFmtId="176" fontId="7" fillId="0" borderId="45" xfId="0" applyNumberFormat="1" applyFont="1" applyFill="1" applyBorder="1" applyAlignment="1">
      <alignment horizontal="right" vertical="center"/>
    </xf>
    <xf numFmtId="176" fontId="7" fillId="0" borderId="47" xfId="0" applyNumberFormat="1" applyFont="1" applyFill="1" applyBorder="1" applyAlignment="1">
      <alignment horizontal="right" vertical="center"/>
    </xf>
    <xf numFmtId="189" fontId="7" fillId="0" borderId="46" xfId="0" applyNumberFormat="1" applyFont="1" applyFill="1" applyBorder="1" applyAlignment="1">
      <alignment vertical="center" shrinkToFit="1"/>
    </xf>
    <xf numFmtId="177" fontId="7" fillId="0" borderId="48" xfId="0" applyNumberFormat="1" applyFont="1" applyFill="1" applyBorder="1" applyAlignment="1">
      <alignment vertical="center"/>
    </xf>
    <xf numFmtId="176" fontId="7" fillId="0" borderId="0" xfId="0" applyNumberFormat="1" applyFont="1" applyFill="1" applyBorder="1" applyAlignment="1">
      <alignment vertical="center"/>
    </xf>
    <xf numFmtId="189" fontId="7" fillId="0" borderId="0" xfId="0" applyNumberFormat="1" applyFont="1" applyFill="1" applyBorder="1" applyAlignment="1">
      <alignment vertical="center"/>
    </xf>
    <xf numFmtId="177" fontId="7" fillId="0" borderId="0" xfId="0" applyNumberFormat="1" applyFont="1" applyFill="1" applyBorder="1" applyAlignment="1">
      <alignment vertical="center"/>
    </xf>
    <xf numFmtId="176" fontId="7" fillId="0" borderId="0" xfId="0" applyNumberFormat="1" applyFont="1" applyFill="1" applyBorder="1" applyAlignment="1">
      <alignment horizontal="right" vertical="center" shrinkToFit="1"/>
    </xf>
    <xf numFmtId="189" fontId="7" fillId="0" borderId="0" xfId="0" applyNumberFormat="1" applyFont="1" applyFill="1" applyBorder="1" applyAlignment="1">
      <alignment vertical="center" shrinkToFit="1"/>
    </xf>
    <xf numFmtId="176" fontId="6" fillId="0" borderId="49" xfId="0" applyNumberFormat="1" applyFont="1" applyFill="1" applyBorder="1" applyAlignment="1">
      <alignment horizontal="center" vertical="center" shrinkToFit="1"/>
    </xf>
    <xf numFmtId="176" fontId="6" fillId="0" borderId="50" xfId="0" applyNumberFormat="1" applyFont="1" applyFill="1" applyBorder="1" applyAlignment="1">
      <alignment horizontal="center" vertical="center" shrinkToFit="1"/>
    </xf>
    <xf numFmtId="176" fontId="6" fillId="0" borderId="11" xfId="0" applyNumberFormat="1" applyFont="1" applyFill="1" applyBorder="1" applyAlignment="1">
      <alignment horizontal="center" vertical="center" shrinkToFit="1"/>
    </xf>
    <xf numFmtId="176" fontId="6" fillId="0" borderId="51" xfId="0" applyNumberFormat="1" applyFont="1" applyFill="1" applyBorder="1" applyAlignment="1">
      <alignment horizontal="center" vertical="center" shrinkToFit="1"/>
    </xf>
    <xf numFmtId="176" fontId="6" fillId="0" borderId="52" xfId="0" applyNumberFormat="1" applyFont="1" applyFill="1" applyBorder="1" applyAlignment="1">
      <alignment horizontal="center" vertical="center" shrinkToFit="1"/>
    </xf>
    <xf numFmtId="176" fontId="6" fillId="0" borderId="53" xfId="0" applyNumberFormat="1" applyFont="1" applyFill="1" applyBorder="1" applyAlignment="1">
      <alignment horizontal="center" vertical="center" shrinkToFit="1"/>
    </xf>
    <xf numFmtId="176" fontId="6" fillId="0" borderId="38" xfId="0" applyNumberFormat="1" applyFont="1" applyFill="1" applyBorder="1" applyAlignment="1">
      <alignment vertical="center"/>
    </xf>
    <xf numFmtId="176" fontId="7" fillId="0" borderId="30" xfId="0" applyNumberFormat="1" applyFont="1" applyFill="1" applyBorder="1" applyAlignment="1">
      <alignment vertical="center"/>
    </xf>
    <xf numFmtId="176" fontId="7" fillId="0" borderId="54" xfId="0" applyNumberFormat="1" applyFont="1" applyFill="1" applyBorder="1" applyAlignment="1">
      <alignment vertical="center"/>
    </xf>
    <xf numFmtId="176" fontId="7" fillId="0" borderId="55" xfId="0" applyNumberFormat="1" applyFont="1" applyFill="1" applyBorder="1" applyAlignment="1">
      <alignment vertical="center"/>
    </xf>
    <xf numFmtId="189" fontId="7" fillId="0" borderId="15" xfId="0" applyNumberFormat="1" applyFont="1" applyFill="1" applyBorder="1" applyAlignment="1">
      <alignment vertical="center"/>
    </xf>
    <xf numFmtId="176" fontId="7" fillId="0" borderId="56" xfId="0" applyNumberFormat="1" applyFont="1" applyFill="1" applyBorder="1" applyAlignment="1">
      <alignment vertical="center"/>
    </xf>
    <xf numFmtId="176" fontId="7" fillId="0" borderId="57" xfId="0" applyNumberFormat="1" applyFont="1" applyFill="1" applyBorder="1" applyAlignment="1">
      <alignment vertical="center"/>
    </xf>
    <xf numFmtId="189" fontId="7" fillId="0" borderId="58" xfId="0" applyNumberFormat="1" applyFont="1" applyFill="1" applyBorder="1" applyAlignment="1">
      <alignment vertical="center"/>
    </xf>
    <xf numFmtId="189" fontId="7" fillId="0" borderId="59" xfId="0" applyNumberFormat="1" applyFont="1" applyFill="1" applyBorder="1" applyAlignment="1">
      <alignment vertical="center"/>
    </xf>
    <xf numFmtId="189" fontId="7" fillId="0" borderId="60" xfId="0" applyNumberFormat="1" applyFont="1" applyFill="1" applyBorder="1" applyAlignment="1">
      <alignment vertical="center"/>
    </xf>
    <xf numFmtId="177" fontId="7" fillId="0" borderId="35" xfId="0" applyNumberFormat="1" applyFont="1" applyFill="1" applyBorder="1" applyAlignment="1">
      <alignment vertical="center"/>
    </xf>
    <xf numFmtId="176" fontId="7" fillId="0" borderId="36" xfId="0" applyNumberFormat="1" applyFont="1" applyFill="1" applyBorder="1" applyAlignment="1">
      <alignment vertical="center"/>
    </xf>
    <xf numFmtId="176" fontId="6" fillId="0" borderId="23" xfId="0" applyNumberFormat="1" applyFont="1" applyFill="1" applyBorder="1" applyAlignment="1">
      <alignment vertical="center"/>
    </xf>
    <xf numFmtId="189" fontId="6" fillId="0" borderId="23" xfId="0" applyNumberFormat="1" applyFont="1" applyFill="1" applyBorder="1" applyAlignment="1">
      <alignment vertical="center"/>
    </xf>
    <xf numFmtId="177" fontId="6" fillId="0" borderId="43" xfId="0" applyNumberFormat="1" applyFont="1" applyFill="1" applyBorder="1" applyAlignment="1">
      <alignment vertical="center"/>
    </xf>
    <xf numFmtId="189" fontId="6" fillId="0" borderId="23" xfId="0" applyNumberFormat="1" applyFont="1" applyFill="1" applyBorder="1" applyAlignment="1">
      <alignment vertical="center" shrinkToFit="1"/>
    </xf>
    <xf numFmtId="176" fontId="7" fillId="0" borderId="53" xfId="0" applyNumberFormat="1" applyFont="1" applyFill="1" applyBorder="1" applyAlignment="1">
      <alignment horizontal="right" vertical="center"/>
    </xf>
    <xf numFmtId="176" fontId="6" fillId="0" borderId="22" xfId="0" applyNumberFormat="1" applyFont="1" applyFill="1" applyBorder="1" applyAlignment="1">
      <alignment vertical="center"/>
    </xf>
    <xf numFmtId="189" fontId="6" fillId="0" borderId="61" xfId="0" applyNumberFormat="1" applyFont="1" applyFill="1" applyBorder="1" applyAlignment="1">
      <alignment vertical="center"/>
    </xf>
    <xf numFmtId="189" fontId="6" fillId="0" borderId="61" xfId="0" applyNumberFormat="1" applyFont="1" applyFill="1" applyBorder="1" applyAlignment="1">
      <alignment vertical="center" shrinkToFit="1"/>
    </xf>
    <xf numFmtId="177" fontId="6" fillId="0" borderId="46" xfId="0" applyNumberFormat="1" applyFont="1" applyFill="1" applyBorder="1" applyAlignment="1">
      <alignment vertical="center"/>
    </xf>
    <xf numFmtId="177" fontId="6" fillId="0" borderId="47" xfId="0" applyNumberFormat="1" applyFont="1" applyFill="1" applyBorder="1" applyAlignment="1">
      <alignment horizontal="right" vertical="center"/>
    </xf>
    <xf numFmtId="192" fontId="6" fillId="0" borderId="62" xfId="0" applyNumberFormat="1" applyFont="1" applyFill="1" applyBorder="1" applyAlignment="1">
      <alignment horizontal="right" vertical="center"/>
    </xf>
    <xf numFmtId="192" fontId="6" fillId="0" borderId="43" xfId="0" applyNumberFormat="1" applyFont="1" applyFill="1" applyBorder="1" applyAlignment="1">
      <alignment horizontal="right" vertical="center"/>
    </xf>
    <xf numFmtId="176" fontId="6" fillId="0" borderId="63" xfId="0" applyNumberFormat="1" applyFont="1" applyFill="1" applyBorder="1" applyAlignment="1">
      <alignment vertical="center"/>
    </xf>
    <xf numFmtId="0" fontId="6" fillId="0" borderId="64" xfId="0" applyFont="1" applyFill="1" applyBorder="1" applyAlignment="1">
      <alignment vertical="center"/>
    </xf>
    <xf numFmtId="0" fontId="6" fillId="0" borderId="65" xfId="0" applyFont="1" applyFill="1" applyBorder="1" applyAlignment="1">
      <alignment vertical="center"/>
    </xf>
    <xf numFmtId="192" fontId="7" fillId="0" borderId="36" xfId="0" applyNumberFormat="1" applyFont="1" applyFill="1" applyBorder="1" applyAlignment="1">
      <alignment vertical="center"/>
    </xf>
    <xf numFmtId="192" fontId="7" fillId="0" borderId="14" xfId="0" applyNumberFormat="1" applyFont="1" applyFill="1" applyBorder="1" applyAlignment="1">
      <alignment vertical="center"/>
    </xf>
    <xf numFmtId="192" fontId="7" fillId="0" borderId="36" xfId="0" applyNumberFormat="1" applyFont="1" applyFill="1" applyBorder="1" applyAlignment="1">
      <alignment horizontal="right" vertical="center"/>
    </xf>
    <xf numFmtId="192" fontId="7" fillId="0" borderId="15" xfId="0" applyNumberFormat="1" applyFont="1" applyFill="1" applyBorder="1" applyAlignment="1">
      <alignment horizontal="right" vertical="center"/>
    </xf>
    <xf numFmtId="190" fontId="6" fillId="0" borderId="14" xfId="0" applyNumberFormat="1" applyFont="1" applyFill="1" applyBorder="1" applyAlignment="1">
      <alignment vertical="center"/>
    </xf>
    <xf numFmtId="190" fontId="6" fillId="0" borderId="14" xfId="0" applyNumberFormat="1" applyFont="1" applyFill="1" applyBorder="1" applyAlignment="1">
      <alignment vertical="center" shrinkToFit="1"/>
    </xf>
    <xf numFmtId="176" fontId="7" fillId="0" borderId="18" xfId="0" applyNumberFormat="1" applyFont="1" applyFill="1" applyBorder="1" applyAlignment="1">
      <alignment horizontal="right" vertical="center"/>
    </xf>
    <xf numFmtId="189" fontId="7" fillId="0" borderId="52" xfId="0" applyNumberFormat="1" applyFont="1" applyFill="1" applyBorder="1" applyAlignment="1">
      <alignment vertical="center"/>
    </xf>
    <xf numFmtId="177" fontId="7" fillId="0" borderId="53" xfId="0" applyNumberFormat="1" applyFont="1" applyFill="1" applyBorder="1" applyAlignment="1">
      <alignment vertical="center"/>
    </xf>
    <xf numFmtId="189" fontId="7" fillId="0" borderId="52" xfId="0" applyNumberFormat="1" applyFont="1" applyFill="1" applyBorder="1" applyAlignment="1">
      <alignment vertical="center" shrinkToFit="1"/>
    </xf>
    <xf numFmtId="189" fontId="6" fillId="0" borderId="34" xfId="0" applyNumberFormat="1" applyFont="1" applyFill="1" applyBorder="1" applyAlignment="1">
      <alignment vertical="center"/>
    </xf>
    <xf numFmtId="177" fontId="6" fillId="0" borderId="35" xfId="0" applyNumberFormat="1" applyFont="1" applyFill="1" applyBorder="1" applyAlignment="1">
      <alignment vertical="center"/>
    </xf>
    <xf numFmtId="189" fontId="6" fillId="0" borderId="34" xfId="0" applyNumberFormat="1" applyFont="1" applyFill="1" applyBorder="1" applyAlignment="1">
      <alignment vertical="center" shrinkToFit="1"/>
    </xf>
    <xf numFmtId="189" fontId="7" fillId="0" borderId="19" xfId="0" applyNumberFormat="1" applyFont="1" applyFill="1" applyBorder="1" applyAlignment="1">
      <alignment vertical="center"/>
    </xf>
    <xf numFmtId="176" fontId="6" fillId="0" borderId="25" xfId="0" applyNumberFormat="1" applyFont="1" applyFill="1" applyBorder="1" applyAlignment="1">
      <alignment horizontal="right" vertical="center"/>
    </xf>
    <xf numFmtId="176" fontId="6" fillId="0" borderId="24" xfId="0" applyNumberFormat="1" applyFont="1" applyFill="1" applyBorder="1" applyAlignment="1">
      <alignment horizontal="right" vertical="center"/>
    </xf>
    <xf numFmtId="189" fontId="7" fillId="0" borderId="23" xfId="0" applyNumberFormat="1" applyFont="1" applyFill="1" applyBorder="1" applyAlignment="1">
      <alignment vertical="center" shrinkToFit="1"/>
    </xf>
    <xf numFmtId="189" fontId="6" fillId="0" borderId="66" xfId="0" applyNumberFormat="1" applyFont="1" applyFill="1" applyBorder="1" applyAlignment="1">
      <alignment vertical="center" shrinkToFit="1"/>
    </xf>
    <xf numFmtId="177" fontId="6" fillId="0" borderId="67" xfId="0" applyNumberFormat="1" applyFont="1" applyFill="1" applyBorder="1" applyAlignment="1">
      <alignment vertical="center" shrinkToFit="1"/>
    </xf>
    <xf numFmtId="176" fontId="6" fillId="0" borderId="68" xfId="0" applyNumberFormat="1" applyFont="1" applyFill="1" applyBorder="1" applyAlignment="1">
      <alignment horizontal="right" vertical="center" shrinkToFit="1"/>
    </xf>
    <xf numFmtId="176" fontId="6" fillId="0" borderId="66" xfId="0" applyNumberFormat="1" applyFont="1" applyFill="1" applyBorder="1" applyAlignment="1">
      <alignment horizontal="right" vertical="center" shrinkToFit="1"/>
    </xf>
    <xf numFmtId="176" fontId="7" fillId="0" borderId="69" xfId="0" applyNumberFormat="1" applyFont="1" applyFill="1" applyBorder="1" applyAlignment="1">
      <alignment horizontal="right" vertical="center"/>
    </xf>
    <xf numFmtId="0" fontId="6" fillId="0" borderId="0" xfId="0" applyFont="1" applyFill="1" applyAlignment="1">
      <alignment horizontal="center"/>
    </xf>
    <xf numFmtId="0" fontId="5" fillId="0" borderId="0" xfId="0" applyFont="1" applyFill="1" applyBorder="1" applyAlignment="1">
      <alignment/>
    </xf>
    <xf numFmtId="0" fontId="7" fillId="0" borderId="0" xfId="0" applyFont="1" applyFill="1" applyBorder="1" applyAlignment="1">
      <alignment horizontal="right"/>
    </xf>
    <xf numFmtId="57" fontId="7" fillId="0" borderId="70" xfId="0" applyNumberFormat="1" applyFont="1" applyFill="1" applyBorder="1" applyAlignment="1">
      <alignment vertical="center"/>
    </xf>
    <xf numFmtId="178" fontId="6" fillId="0" borderId="11" xfId="0" applyNumberFormat="1" applyFont="1" applyFill="1" applyBorder="1" applyAlignment="1">
      <alignment horizontal="center" vertical="center" shrinkToFit="1"/>
    </xf>
    <xf numFmtId="176" fontId="6" fillId="0" borderId="13" xfId="0" applyNumberFormat="1" applyFont="1" applyFill="1" applyBorder="1" applyAlignment="1">
      <alignment horizontal="center" vertical="center" shrinkToFit="1"/>
    </xf>
    <xf numFmtId="176" fontId="6" fillId="0" borderId="71" xfId="0" applyNumberFormat="1" applyFont="1" applyFill="1" applyBorder="1" applyAlignment="1">
      <alignment horizontal="center" vertical="center" shrinkToFit="1"/>
    </xf>
    <xf numFmtId="176" fontId="6" fillId="0" borderId="0" xfId="0" applyNumberFormat="1" applyFont="1" applyFill="1" applyAlignment="1">
      <alignment vertical="center"/>
    </xf>
    <xf numFmtId="176" fontId="6" fillId="0" borderId="38" xfId="0" applyNumberFormat="1" applyFont="1" applyFill="1" applyBorder="1" applyAlignment="1">
      <alignment horizontal="right" vertical="center"/>
    </xf>
    <xf numFmtId="177" fontId="7" fillId="0" borderId="14" xfId="0" applyNumberFormat="1" applyFont="1" applyFill="1" applyBorder="1" applyAlignment="1">
      <alignment vertical="center" shrinkToFit="1"/>
    </xf>
    <xf numFmtId="177" fontId="7" fillId="0" borderId="15" xfId="0" applyNumberFormat="1" applyFont="1" applyFill="1" applyBorder="1" applyAlignment="1">
      <alignment vertical="center" shrinkToFit="1"/>
    </xf>
    <xf numFmtId="177" fontId="6" fillId="0" borderId="11" xfId="0" applyNumberFormat="1" applyFont="1" applyFill="1" applyBorder="1" applyAlignment="1">
      <alignment vertical="center" shrinkToFit="1"/>
    </xf>
    <xf numFmtId="176" fontId="6" fillId="0" borderId="47" xfId="0" applyNumberFormat="1" applyFont="1" applyFill="1" applyBorder="1" applyAlignment="1">
      <alignment horizontal="right" vertical="center"/>
    </xf>
    <xf numFmtId="0" fontId="6" fillId="0" borderId="0" xfId="0" applyFont="1" applyFill="1" applyBorder="1" applyAlignment="1">
      <alignment vertical="center" wrapText="1"/>
    </xf>
    <xf numFmtId="176" fontId="1" fillId="0" borderId="0" xfId="0" applyNumberFormat="1" applyFont="1" applyFill="1" applyAlignment="1">
      <alignment vertical="center"/>
    </xf>
    <xf numFmtId="189" fontId="7" fillId="0" borderId="34" xfId="0" applyNumberFormat="1" applyFont="1" applyFill="1" applyBorder="1" applyAlignment="1">
      <alignment vertical="center"/>
    </xf>
    <xf numFmtId="177" fontId="7" fillId="0" borderId="46" xfId="0" applyNumberFormat="1" applyFont="1" applyFill="1" applyBorder="1" applyAlignment="1">
      <alignment vertical="center"/>
    </xf>
    <xf numFmtId="192" fontId="7" fillId="0" borderId="20" xfId="0" applyNumberFormat="1" applyFont="1" applyFill="1" applyBorder="1" applyAlignment="1">
      <alignment vertical="center"/>
    </xf>
    <xf numFmtId="192" fontId="7" fillId="0" borderId="14" xfId="0" applyNumberFormat="1" applyFont="1" applyFill="1" applyBorder="1" applyAlignment="1">
      <alignment vertical="center"/>
    </xf>
    <xf numFmtId="192" fontId="7" fillId="0" borderId="45" xfId="0" applyNumberFormat="1" applyFont="1" applyFill="1" applyBorder="1" applyAlignment="1">
      <alignment vertical="center"/>
    </xf>
    <xf numFmtId="192" fontId="7" fillId="0" borderId="46" xfId="0" applyNumberFormat="1" applyFont="1" applyFill="1" applyBorder="1" applyAlignment="1">
      <alignment vertical="center"/>
    </xf>
    <xf numFmtId="192" fontId="7" fillId="0" borderId="19" xfId="0" applyNumberFormat="1" applyFont="1" applyFill="1" applyBorder="1" applyAlignment="1">
      <alignment vertical="center"/>
    </xf>
    <xf numFmtId="176" fontId="6" fillId="0" borderId="0" xfId="0" applyNumberFormat="1" applyFont="1" applyFill="1" applyBorder="1" applyAlignment="1">
      <alignment horizontal="center" vertical="center" shrinkToFit="1"/>
    </xf>
    <xf numFmtId="0" fontId="6" fillId="0" borderId="0" xfId="0" applyFont="1" applyFill="1" applyBorder="1" applyAlignment="1">
      <alignment horizontal="distributed" vertical="center"/>
    </xf>
    <xf numFmtId="176" fontId="7" fillId="0" borderId="0" xfId="0" applyNumberFormat="1" applyFont="1" applyFill="1" applyBorder="1" applyAlignment="1">
      <alignment horizontal="right" vertical="center"/>
    </xf>
    <xf numFmtId="177" fontId="7" fillId="0" borderId="72" xfId="0" applyNumberFormat="1" applyFont="1" applyFill="1" applyBorder="1" applyAlignment="1">
      <alignment vertical="center"/>
    </xf>
    <xf numFmtId="0" fontId="6" fillId="0" borderId="72" xfId="0" applyFont="1" applyFill="1" applyBorder="1" applyAlignment="1">
      <alignment horizontal="distributed" vertical="center"/>
    </xf>
    <xf numFmtId="176" fontId="6" fillId="0" borderId="72" xfId="0" applyNumberFormat="1" applyFont="1" applyFill="1" applyBorder="1" applyAlignment="1">
      <alignment horizontal="center" vertical="center" shrinkToFit="1"/>
    </xf>
    <xf numFmtId="0" fontId="9" fillId="0" borderId="38" xfId="0" applyFont="1" applyFill="1" applyBorder="1" applyAlignment="1">
      <alignment horizontal="center" vertical="center"/>
    </xf>
    <xf numFmtId="176" fontId="6" fillId="0" borderId="38" xfId="0" applyNumberFormat="1" applyFont="1" applyFill="1" applyBorder="1" applyAlignment="1">
      <alignment horizontal="center" vertical="center" shrinkToFit="1"/>
    </xf>
    <xf numFmtId="177" fontId="7" fillId="0" borderId="38" xfId="0" applyNumberFormat="1" applyFont="1" applyFill="1" applyBorder="1" applyAlignment="1">
      <alignment vertical="center"/>
    </xf>
    <xf numFmtId="176" fontId="7" fillId="0" borderId="72" xfId="0" applyNumberFormat="1" applyFont="1" applyFill="1" applyBorder="1" applyAlignment="1">
      <alignment horizontal="right" vertical="center"/>
    </xf>
    <xf numFmtId="177" fontId="7" fillId="0" borderId="72" xfId="0" applyNumberFormat="1" applyFont="1" applyFill="1" applyBorder="1" applyAlignment="1">
      <alignment vertical="center" shrinkToFit="1"/>
    </xf>
    <xf numFmtId="177" fontId="6" fillId="0" borderId="72" xfId="0" applyNumberFormat="1" applyFont="1" applyFill="1" applyBorder="1" applyAlignment="1">
      <alignment vertical="center" shrinkToFit="1"/>
    </xf>
    <xf numFmtId="176" fontId="6" fillId="0" borderId="72" xfId="0" applyNumberFormat="1" applyFont="1" applyFill="1" applyBorder="1" applyAlignment="1">
      <alignment horizontal="right" vertical="center"/>
    </xf>
    <xf numFmtId="0" fontId="6" fillId="0" borderId="38" xfId="0" applyFont="1" applyFill="1" applyBorder="1" applyAlignment="1">
      <alignment horizontal="distributed" vertical="center"/>
    </xf>
    <xf numFmtId="177" fontId="7" fillId="0" borderId="38" xfId="0" applyNumberFormat="1" applyFont="1" applyFill="1" applyBorder="1" applyAlignment="1">
      <alignment vertical="center" shrinkToFit="1"/>
    </xf>
    <xf numFmtId="177" fontId="6" fillId="0" borderId="38" xfId="0" applyNumberFormat="1" applyFont="1" applyFill="1" applyBorder="1" applyAlignment="1">
      <alignment vertical="center" shrinkToFit="1"/>
    </xf>
    <xf numFmtId="189" fontId="7" fillId="0" borderId="50" xfId="0" applyNumberFormat="1" applyFont="1" applyFill="1" applyBorder="1" applyAlignment="1">
      <alignment vertical="center"/>
    </xf>
    <xf numFmtId="176" fontId="6" fillId="0" borderId="61" xfId="0" applyNumberFormat="1" applyFont="1" applyFill="1" applyBorder="1" applyAlignment="1">
      <alignment vertical="center"/>
    </xf>
    <xf numFmtId="177" fontId="7" fillId="0" borderId="73" xfId="0" applyNumberFormat="1" applyFont="1" applyFill="1" applyBorder="1" applyAlignment="1">
      <alignment vertical="center"/>
    </xf>
    <xf numFmtId="176" fontId="7" fillId="0" borderId="74" xfId="0" applyNumberFormat="1" applyFont="1" applyFill="1" applyBorder="1" applyAlignment="1">
      <alignment horizontal="right" vertical="center"/>
    </xf>
    <xf numFmtId="176" fontId="7" fillId="0" borderId="75" xfId="0" applyNumberFormat="1" applyFont="1" applyFill="1" applyBorder="1" applyAlignment="1">
      <alignment horizontal="right" vertical="center"/>
    </xf>
    <xf numFmtId="189" fontId="7" fillId="0" borderId="76" xfId="0" applyNumberFormat="1" applyFont="1" applyFill="1" applyBorder="1" applyAlignment="1">
      <alignment vertical="center" shrinkToFit="1"/>
    </xf>
    <xf numFmtId="177" fontId="7" fillId="0" borderId="75" xfId="0" applyNumberFormat="1" applyFont="1" applyFill="1" applyBorder="1" applyAlignment="1">
      <alignment vertical="center"/>
    </xf>
    <xf numFmtId="176" fontId="7" fillId="0" borderId="71" xfId="0" applyNumberFormat="1" applyFont="1" applyFill="1" applyBorder="1" applyAlignment="1">
      <alignment horizontal="right" vertical="center"/>
    </xf>
    <xf numFmtId="177" fontId="7" fillId="0" borderId="18" xfId="0" applyNumberFormat="1" applyFont="1" applyFill="1" applyBorder="1" applyAlignment="1">
      <alignment vertical="center" shrinkToFit="1"/>
    </xf>
    <xf numFmtId="177" fontId="6" fillId="0" borderId="13" xfId="0" applyNumberFormat="1" applyFont="1" applyFill="1" applyBorder="1" applyAlignment="1">
      <alignment vertical="center" shrinkToFit="1"/>
    </xf>
    <xf numFmtId="176" fontId="6" fillId="0" borderId="48" xfId="0" applyNumberFormat="1" applyFont="1" applyFill="1" applyBorder="1" applyAlignment="1">
      <alignment horizontal="right" vertical="center"/>
    </xf>
    <xf numFmtId="176" fontId="5" fillId="0" borderId="0" xfId="0" applyNumberFormat="1" applyFont="1" applyFill="1" applyBorder="1" applyAlignment="1">
      <alignment horizontal="center"/>
    </xf>
    <xf numFmtId="176" fontId="6" fillId="0" borderId="10" xfId="0" applyNumberFormat="1" applyFont="1" applyFill="1" applyBorder="1" applyAlignment="1">
      <alignment horizontal="right" vertical="center"/>
    </xf>
    <xf numFmtId="176" fontId="7" fillId="0" borderId="77" xfId="0" applyNumberFormat="1" applyFont="1" applyFill="1" applyBorder="1" applyAlignment="1">
      <alignment vertical="center"/>
    </xf>
    <xf numFmtId="176" fontId="6" fillId="0" borderId="37" xfId="0" applyNumberFormat="1" applyFont="1" applyFill="1" applyBorder="1" applyAlignment="1">
      <alignment vertical="center"/>
    </xf>
    <xf numFmtId="177" fontId="6" fillId="0" borderId="17" xfId="0" applyNumberFormat="1" applyFont="1" applyFill="1" applyBorder="1" applyAlignment="1">
      <alignment vertical="center"/>
    </xf>
    <xf numFmtId="176" fontId="6" fillId="0" borderId="78" xfId="0" applyNumberFormat="1" applyFont="1" applyFill="1" applyBorder="1" applyAlignment="1">
      <alignment vertical="center"/>
    </xf>
    <xf numFmtId="176" fontId="7" fillId="0" borderId="51" xfId="0" applyNumberFormat="1" applyFont="1" applyFill="1" applyBorder="1" applyAlignment="1">
      <alignment vertical="center"/>
    </xf>
    <xf numFmtId="176" fontId="6" fillId="0" borderId="36" xfId="0" applyNumberFormat="1" applyFont="1" applyFill="1" applyBorder="1" applyAlignment="1">
      <alignment vertical="center"/>
    </xf>
    <xf numFmtId="176" fontId="6" fillId="0" borderId="14" xfId="0" applyNumberFormat="1" applyFont="1" applyFill="1" applyBorder="1" applyAlignment="1">
      <alignment vertical="center"/>
    </xf>
    <xf numFmtId="199" fontId="6" fillId="0" borderId="0" xfId="0" applyNumberFormat="1" applyFont="1" applyFill="1" applyBorder="1" applyAlignment="1">
      <alignment horizontal="right" vertical="center"/>
    </xf>
    <xf numFmtId="192" fontId="6" fillId="0" borderId="62" xfId="0" applyNumberFormat="1" applyFont="1" applyFill="1" applyBorder="1" applyAlignment="1">
      <alignment vertical="center"/>
    </xf>
    <xf numFmtId="192" fontId="6" fillId="0" borderId="23" xfId="0" applyNumberFormat="1" applyFont="1" applyFill="1" applyBorder="1" applyAlignment="1">
      <alignment vertical="center"/>
    </xf>
    <xf numFmtId="187" fontId="6" fillId="0" borderId="20" xfId="0" applyNumberFormat="1" applyFont="1" applyFill="1" applyBorder="1" applyAlignment="1">
      <alignment vertical="center"/>
    </xf>
    <xf numFmtId="187" fontId="6" fillId="0" borderId="14" xfId="0" applyNumberFormat="1" applyFont="1" applyFill="1" applyBorder="1" applyAlignment="1">
      <alignment vertical="center"/>
    </xf>
    <xf numFmtId="192" fontId="7" fillId="0" borderId="51" xfId="0" applyNumberFormat="1" applyFont="1" applyFill="1" applyBorder="1" applyAlignment="1">
      <alignment vertical="center"/>
    </xf>
    <xf numFmtId="192" fontId="7" fillId="0" borderId="52" xfId="0" applyNumberFormat="1" applyFont="1" applyFill="1" applyBorder="1" applyAlignment="1">
      <alignment vertical="center"/>
    </xf>
    <xf numFmtId="176" fontId="6" fillId="0" borderId="68" xfId="0" applyNumberFormat="1" applyFont="1" applyFill="1" applyBorder="1" applyAlignment="1">
      <alignment vertical="center" shrinkToFit="1"/>
    </xf>
    <xf numFmtId="176" fontId="6" fillId="0" borderId="66" xfId="0" applyNumberFormat="1" applyFont="1" applyFill="1" applyBorder="1" applyAlignment="1">
      <alignment vertical="center" shrinkToFit="1"/>
    </xf>
    <xf numFmtId="176" fontId="10" fillId="0" borderId="38" xfId="0" applyNumberFormat="1" applyFont="1" applyFill="1" applyBorder="1" applyAlignment="1">
      <alignment horizontal="distributed" vertical="center"/>
    </xf>
    <xf numFmtId="176" fontId="6" fillId="0" borderId="10" xfId="0" applyNumberFormat="1" applyFont="1" applyFill="1" applyBorder="1" applyAlignment="1">
      <alignment vertical="center"/>
    </xf>
    <xf numFmtId="176" fontId="6" fillId="0" borderId="79" xfId="0" applyNumberFormat="1" applyFont="1" applyFill="1" applyBorder="1" applyAlignment="1">
      <alignment vertical="center"/>
    </xf>
    <xf numFmtId="176" fontId="6" fillId="0" borderId="80" xfId="0" applyNumberFormat="1" applyFont="1" applyFill="1" applyBorder="1" applyAlignment="1">
      <alignment vertical="center"/>
    </xf>
    <xf numFmtId="176" fontId="6" fillId="0" borderId="81" xfId="0" applyNumberFormat="1" applyFont="1" applyFill="1" applyBorder="1" applyAlignment="1">
      <alignment vertical="center"/>
    </xf>
    <xf numFmtId="176" fontId="6" fillId="0" borderId="63" xfId="0" applyNumberFormat="1" applyFont="1" applyFill="1" applyBorder="1" applyAlignment="1">
      <alignment vertical="center"/>
    </xf>
    <xf numFmtId="176" fontId="7" fillId="0" borderId="12" xfId="0" applyNumberFormat="1" applyFont="1" applyFill="1" applyBorder="1" applyAlignment="1">
      <alignment horizontal="right" vertical="center"/>
    </xf>
    <xf numFmtId="176" fontId="6" fillId="0" borderId="82" xfId="0" applyNumberFormat="1" applyFont="1" applyFill="1" applyBorder="1" applyAlignment="1">
      <alignment vertical="center"/>
    </xf>
    <xf numFmtId="176" fontId="7" fillId="0" borderId="83" xfId="0" applyNumberFormat="1" applyFont="1" applyFill="1" applyBorder="1" applyAlignment="1">
      <alignment vertical="center"/>
    </xf>
    <xf numFmtId="176" fontId="7" fillId="0" borderId="79" xfId="0" applyNumberFormat="1" applyFont="1" applyFill="1" applyBorder="1" applyAlignment="1">
      <alignment vertical="center"/>
    </xf>
    <xf numFmtId="176" fontId="7" fillId="0" borderId="80" xfId="0" applyNumberFormat="1" applyFont="1" applyFill="1" applyBorder="1" applyAlignment="1">
      <alignment vertical="center"/>
    </xf>
    <xf numFmtId="176" fontId="7" fillId="0" borderId="63" xfId="0" applyNumberFormat="1" applyFont="1" applyFill="1" applyBorder="1" applyAlignment="1">
      <alignment vertical="center"/>
    </xf>
    <xf numFmtId="176" fontId="7" fillId="0" borderId="64" xfId="0" applyNumberFormat="1" applyFont="1" applyFill="1" applyBorder="1" applyAlignment="1">
      <alignment vertical="center"/>
    </xf>
    <xf numFmtId="176" fontId="7" fillId="0" borderId="64" xfId="0" applyNumberFormat="1" applyFont="1" applyFill="1" applyBorder="1" applyAlignment="1">
      <alignment vertical="center"/>
    </xf>
    <xf numFmtId="176" fontId="7" fillId="0" borderId="65" xfId="0" applyNumberFormat="1" applyFont="1" applyFill="1" applyBorder="1" applyAlignment="1">
      <alignment vertical="center" shrinkToFit="1"/>
    </xf>
    <xf numFmtId="176" fontId="7" fillId="0" borderId="79" xfId="0" applyNumberFormat="1" applyFont="1" applyFill="1" applyBorder="1" applyAlignment="1">
      <alignment vertical="center"/>
    </xf>
    <xf numFmtId="176" fontId="7" fillId="0" borderId="80" xfId="0" applyNumberFormat="1" applyFont="1" applyFill="1" applyBorder="1" applyAlignment="1">
      <alignment vertical="center" shrinkToFit="1"/>
    </xf>
    <xf numFmtId="176" fontId="7" fillId="0" borderId="84" xfId="0" applyNumberFormat="1" applyFont="1" applyFill="1" applyBorder="1" applyAlignment="1">
      <alignment vertical="center"/>
    </xf>
    <xf numFmtId="176" fontId="7" fillId="0" borderId="85" xfId="0" applyNumberFormat="1" applyFont="1" applyFill="1" applyBorder="1" applyAlignment="1">
      <alignment vertical="center"/>
    </xf>
    <xf numFmtId="176" fontId="7" fillId="0" borderId="85" xfId="0" applyNumberFormat="1" applyFont="1" applyFill="1" applyBorder="1" applyAlignment="1">
      <alignment vertical="center"/>
    </xf>
    <xf numFmtId="176" fontId="7" fillId="0" borderId="86" xfId="0" applyNumberFormat="1" applyFont="1" applyFill="1" applyBorder="1" applyAlignment="1">
      <alignment vertical="center" shrinkToFit="1"/>
    </xf>
    <xf numFmtId="176" fontId="7" fillId="0" borderId="65" xfId="0" applyNumberFormat="1" applyFont="1" applyFill="1" applyBorder="1" applyAlignment="1">
      <alignment horizontal="distributed" vertical="center" shrinkToFit="1"/>
    </xf>
    <xf numFmtId="0" fontId="6" fillId="0" borderId="87" xfId="0" applyFont="1" applyFill="1" applyBorder="1" applyAlignment="1">
      <alignment vertical="center"/>
    </xf>
    <xf numFmtId="0" fontId="6" fillId="0" borderId="88" xfId="0" applyFont="1" applyFill="1" applyBorder="1" applyAlignment="1">
      <alignment vertical="center"/>
    </xf>
    <xf numFmtId="176" fontId="6" fillId="0" borderId="89" xfId="0" applyNumberFormat="1" applyFont="1" applyFill="1" applyBorder="1" applyAlignment="1">
      <alignment vertical="center"/>
    </xf>
    <xf numFmtId="176" fontId="6" fillId="0" borderId="53" xfId="0" applyNumberFormat="1" applyFont="1" applyFill="1" applyBorder="1" applyAlignment="1">
      <alignment vertical="center"/>
    </xf>
    <xf numFmtId="0" fontId="7" fillId="0" borderId="38" xfId="0" applyFont="1" applyFill="1" applyBorder="1" applyAlignment="1">
      <alignment horizontal="right" vertical="center"/>
    </xf>
    <xf numFmtId="176" fontId="7" fillId="0" borderId="87" xfId="0" applyNumberFormat="1" applyFont="1" applyFill="1" applyBorder="1" applyAlignment="1">
      <alignment vertical="center"/>
    </xf>
    <xf numFmtId="176" fontId="7" fillId="0" borderId="87" xfId="0" applyNumberFormat="1" applyFont="1" applyFill="1" applyBorder="1" applyAlignment="1">
      <alignment vertical="center"/>
    </xf>
    <xf numFmtId="176" fontId="7" fillId="0" borderId="88" xfId="0" applyNumberFormat="1" applyFont="1" applyFill="1" applyBorder="1" applyAlignment="1">
      <alignment vertical="center" shrinkToFit="1"/>
    </xf>
    <xf numFmtId="176" fontId="7" fillId="0" borderId="90" xfId="0" applyNumberFormat="1" applyFont="1" applyFill="1" applyBorder="1" applyAlignment="1">
      <alignment vertical="center"/>
    </xf>
    <xf numFmtId="176" fontId="6" fillId="0" borderId="0" xfId="0" applyNumberFormat="1" applyFont="1" applyFill="1" applyBorder="1" applyAlignment="1">
      <alignment vertical="center"/>
    </xf>
    <xf numFmtId="176"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176" fontId="6" fillId="0" borderId="10" xfId="0" applyNumberFormat="1" applyFont="1" applyFill="1" applyBorder="1" applyAlignment="1">
      <alignment horizontal="center" vertical="center"/>
    </xf>
    <xf numFmtId="176" fontId="7" fillId="0" borderId="65" xfId="0" applyNumberFormat="1" applyFont="1" applyFill="1" applyBorder="1" applyAlignment="1">
      <alignment vertical="center"/>
    </xf>
    <xf numFmtId="0" fontId="7" fillId="0" borderId="89" xfId="0" applyFont="1" applyFill="1" applyBorder="1" applyAlignment="1">
      <alignment horizontal="right" vertical="center"/>
    </xf>
    <xf numFmtId="176" fontId="6" fillId="0" borderId="64" xfId="0" applyNumberFormat="1" applyFont="1" applyFill="1" applyBorder="1" applyAlignment="1">
      <alignment vertical="center"/>
    </xf>
    <xf numFmtId="176" fontId="6" fillId="0" borderId="65" xfId="0" applyNumberFormat="1" applyFont="1" applyFill="1" applyBorder="1" applyAlignment="1">
      <alignment vertical="center"/>
    </xf>
    <xf numFmtId="176" fontId="6" fillId="0" borderId="85" xfId="0" applyNumberFormat="1" applyFont="1" applyFill="1" applyBorder="1" applyAlignment="1">
      <alignment vertical="center"/>
    </xf>
    <xf numFmtId="176" fontId="6" fillId="0" borderId="86" xfId="0" applyNumberFormat="1" applyFont="1" applyFill="1" applyBorder="1" applyAlignment="1">
      <alignment vertical="center"/>
    </xf>
    <xf numFmtId="176" fontId="6" fillId="0" borderId="72" xfId="0" applyNumberFormat="1" applyFont="1" applyFill="1" applyBorder="1" applyAlignment="1">
      <alignment vertical="center"/>
    </xf>
    <xf numFmtId="176" fontId="6" fillId="0" borderId="22" xfId="0" applyNumberFormat="1" applyFont="1" applyFill="1" applyBorder="1" applyAlignment="1">
      <alignment horizontal="distributed" vertical="center"/>
    </xf>
    <xf numFmtId="176" fontId="6" fillId="0" borderId="63" xfId="0" applyNumberFormat="1" applyFont="1" applyFill="1" applyBorder="1" applyAlignment="1">
      <alignment horizontal="left" vertical="center"/>
    </xf>
    <xf numFmtId="176" fontId="6" fillId="0" borderId="64" xfId="0" applyNumberFormat="1" applyFont="1" applyFill="1" applyBorder="1" applyAlignment="1">
      <alignment horizontal="left" vertical="center"/>
    </xf>
    <xf numFmtId="176" fontId="6" fillId="0" borderId="65" xfId="0" applyNumberFormat="1" applyFont="1" applyFill="1" applyBorder="1" applyAlignment="1">
      <alignment horizontal="left" vertical="center"/>
    </xf>
    <xf numFmtId="176" fontId="6" fillId="0" borderId="90" xfId="0" applyNumberFormat="1" applyFont="1" applyFill="1" applyBorder="1" applyAlignment="1">
      <alignment vertical="center"/>
    </xf>
    <xf numFmtId="176" fontId="7" fillId="0" borderId="63" xfId="0" applyNumberFormat="1" applyFont="1" applyFill="1" applyBorder="1" applyAlignment="1">
      <alignment horizontal="left" vertical="center"/>
    </xf>
    <xf numFmtId="176" fontId="7" fillId="0" borderId="81" xfId="0" applyNumberFormat="1" applyFont="1" applyFill="1" applyBorder="1" applyAlignment="1">
      <alignment horizontal="left" vertical="center"/>
    </xf>
    <xf numFmtId="176" fontId="6" fillId="0" borderId="85" xfId="0" applyNumberFormat="1" applyFont="1" applyFill="1" applyBorder="1" applyAlignment="1">
      <alignment horizontal="left" vertical="center"/>
    </xf>
    <xf numFmtId="176" fontId="6" fillId="0" borderId="86" xfId="0" applyNumberFormat="1" applyFont="1" applyFill="1" applyBorder="1" applyAlignment="1">
      <alignment horizontal="left" vertical="center"/>
    </xf>
    <xf numFmtId="176" fontId="6" fillId="0" borderId="47" xfId="0" applyNumberFormat="1" applyFont="1" applyFill="1" applyBorder="1" applyAlignment="1">
      <alignment vertical="center"/>
    </xf>
    <xf numFmtId="176" fontId="7" fillId="0" borderId="87" xfId="0" applyNumberFormat="1" applyFont="1" applyFill="1" applyBorder="1" applyAlignment="1">
      <alignment horizontal="left" vertical="center"/>
    </xf>
    <xf numFmtId="176" fontId="6" fillId="0" borderId="91" xfId="0" applyNumberFormat="1" applyFont="1" applyFill="1" applyBorder="1" applyAlignment="1">
      <alignment vertical="center"/>
    </xf>
    <xf numFmtId="176" fontId="6" fillId="0" borderId="91" xfId="0" applyNumberFormat="1" applyFont="1" applyFill="1" applyBorder="1" applyAlignment="1">
      <alignment horizontal="left" vertical="center"/>
    </xf>
    <xf numFmtId="176" fontId="6" fillId="0" borderId="92" xfId="0" applyNumberFormat="1" applyFont="1" applyFill="1" applyBorder="1" applyAlignment="1">
      <alignment horizontal="left" vertical="center"/>
    </xf>
    <xf numFmtId="176" fontId="6" fillId="0" borderId="38" xfId="0" applyNumberFormat="1" applyFont="1" applyFill="1" applyBorder="1" applyAlignment="1">
      <alignment horizontal="distributed" vertical="center"/>
    </xf>
    <xf numFmtId="0" fontId="6" fillId="0" borderId="64" xfId="0" applyFont="1" applyFill="1" applyBorder="1" applyAlignment="1">
      <alignment horizontal="left" vertical="center"/>
    </xf>
    <xf numFmtId="0" fontId="6" fillId="0" borderId="10" xfId="0" applyFont="1" applyFill="1" applyBorder="1" applyAlignment="1">
      <alignment vertical="center"/>
    </xf>
    <xf numFmtId="176" fontId="6" fillId="0" borderId="51" xfId="0" applyNumberFormat="1" applyFont="1" applyFill="1" applyBorder="1" applyAlignment="1">
      <alignment vertical="center"/>
    </xf>
    <xf numFmtId="176" fontId="6" fillId="0" borderId="93" xfId="0" applyNumberFormat="1" applyFont="1" applyFill="1" applyBorder="1" applyAlignment="1">
      <alignment vertical="center"/>
    </xf>
    <xf numFmtId="0" fontId="7" fillId="0" borderId="38" xfId="0" applyFont="1" applyFill="1" applyBorder="1" applyAlignment="1">
      <alignment horizontal="right" vertical="top"/>
    </xf>
    <xf numFmtId="176" fontId="7" fillId="0" borderId="38" xfId="0" applyNumberFormat="1" applyFont="1" applyFill="1" applyBorder="1" applyAlignment="1">
      <alignment horizontal="right" vertical="top"/>
    </xf>
    <xf numFmtId="187" fontId="6" fillId="0" borderId="36" xfId="0" applyNumberFormat="1" applyFont="1" applyFill="1" applyBorder="1" applyAlignment="1">
      <alignment horizontal="right" vertical="center"/>
    </xf>
    <xf numFmtId="192" fontId="7" fillId="0" borderId="89" xfId="0" applyNumberFormat="1" applyFont="1" applyFill="1" applyBorder="1" applyAlignment="1">
      <alignment horizontal="right" vertical="center"/>
    </xf>
    <xf numFmtId="192" fontId="7" fillId="0" borderId="36" xfId="0" applyNumberFormat="1" applyFont="1" applyFill="1" applyBorder="1" applyAlignment="1">
      <alignment vertical="center"/>
    </xf>
    <xf numFmtId="187" fontId="6" fillId="0" borderId="14" xfId="0" applyNumberFormat="1" applyFont="1" applyFill="1" applyBorder="1" applyAlignment="1">
      <alignment horizontal="right" vertical="center"/>
    </xf>
    <xf numFmtId="192" fontId="7" fillId="0" borderId="52" xfId="0" applyNumberFormat="1" applyFont="1" applyFill="1" applyBorder="1" applyAlignment="1">
      <alignment horizontal="right" vertical="center"/>
    </xf>
    <xf numFmtId="192" fontId="7" fillId="0" borderId="14" xfId="0" applyNumberFormat="1" applyFont="1" applyFill="1" applyBorder="1" applyAlignment="1">
      <alignment horizontal="right" vertical="center"/>
    </xf>
    <xf numFmtId="192" fontId="6" fillId="0" borderId="61" xfId="0" applyNumberFormat="1" applyFont="1" applyFill="1" applyBorder="1" applyAlignment="1">
      <alignment horizontal="right" vertical="center" shrinkToFit="1"/>
    </xf>
    <xf numFmtId="202" fontId="6" fillId="0" borderId="0" xfId="0" applyNumberFormat="1" applyFont="1" applyFill="1" applyBorder="1" applyAlignment="1">
      <alignment horizontal="right" vertical="center"/>
    </xf>
    <xf numFmtId="202" fontId="6" fillId="0" borderId="37" xfId="0" applyNumberFormat="1" applyFont="1" applyFill="1" applyBorder="1" applyAlignment="1">
      <alignment horizontal="right" vertical="center"/>
    </xf>
    <xf numFmtId="201" fontId="6" fillId="0" borderId="38" xfId="0" applyNumberFormat="1" applyFont="1" applyFill="1" applyBorder="1" applyAlignment="1">
      <alignment horizontal="right" vertical="center"/>
    </xf>
    <xf numFmtId="176" fontId="7" fillId="0" borderId="94" xfId="0" applyNumberFormat="1" applyFont="1" applyFill="1" applyBorder="1" applyAlignment="1">
      <alignment vertical="center"/>
    </xf>
    <xf numFmtId="192" fontId="6" fillId="0" borderId="0" xfId="0" applyNumberFormat="1" applyFont="1" applyFill="1" applyBorder="1" applyAlignment="1">
      <alignment horizontal="right" vertical="center" shrinkToFit="1"/>
    </xf>
    <xf numFmtId="199" fontId="6" fillId="0" borderId="46" xfId="0" applyNumberFormat="1" applyFont="1" applyFill="1" applyBorder="1" applyAlignment="1">
      <alignment horizontal="right" vertical="center"/>
    </xf>
    <xf numFmtId="201" fontId="6" fillId="0" borderId="37" xfId="0" applyNumberFormat="1" applyFont="1" applyFill="1" applyBorder="1" applyAlignment="1">
      <alignment horizontal="right" vertical="center"/>
    </xf>
    <xf numFmtId="176" fontId="7" fillId="0" borderId="0" xfId="0" applyNumberFormat="1" applyFont="1" applyFill="1" applyBorder="1" applyAlignment="1">
      <alignment vertical="center"/>
    </xf>
    <xf numFmtId="203" fontId="7" fillId="0" borderId="70" xfId="0" applyNumberFormat="1" applyFont="1" applyFill="1" applyBorder="1" applyAlignment="1">
      <alignment horizontal="right"/>
    </xf>
    <xf numFmtId="203" fontId="7" fillId="0" borderId="0" xfId="0" applyNumberFormat="1" applyFont="1" applyFill="1" applyBorder="1" applyAlignment="1">
      <alignment horizontal="right"/>
    </xf>
    <xf numFmtId="176" fontId="0" fillId="0" borderId="12" xfId="0" applyNumberFormat="1" applyFont="1" applyFill="1" applyBorder="1" applyAlignment="1">
      <alignment vertical="center"/>
    </xf>
    <xf numFmtId="176" fontId="0" fillId="0" borderId="37" xfId="0" applyNumberFormat="1" applyFont="1" applyFill="1" applyBorder="1" applyAlignment="1">
      <alignment vertical="center"/>
    </xf>
    <xf numFmtId="176" fontId="54" fillId="0" borderId="10" xfId="0" applyNumberFormat="1" applyFont="1" applyBorder="1" applyAlignment="1">
      <alignment vertical="center"/>
    </xf>
    <xf numFmtId="176" fontId="55" fillId="0" borderId="83" xfId="0" applyNumberFormat="1" applyFont="1" applyBorder="1" applyAlignment="1">
      <alignment vertical="center"/>
    </xf>
    <xf numFmtId="176" fontId="54" fillId="0" borderId="79" xfId="0" applyNumberFormat="1" applyFont="1" applyBorder="1" applyAlignment="1">
      <alignment vertical="center"/>
    </xf>
    <xf numFmtId="176" fontId="54" fillId="0" borderId="80" xfId="0" applyNumberFormat="1" applyFont="1" applyBorder="1" applyAlignment="1">
      <alignment vertical="center"/>
    </xf>
    <xf numFmtId="176" fontId="0" fillId="0" borderId="16" xfId="0" applyNumberFormat="1" applyFont="1" applyFill="1" applyBorder="1" applyAlignment="1">
      <alignment vertical="center"/>
    </xf>
    <xf numFmtId="176" fontId="0" fillId="0" borderId="19" xfId="0" applyNumberFormat="1" applyFont="1" applyFill="1" applyBorder="1" applyAlignment="1">
      <alignment vertical="center"/>
    </xf>
    <xf numFmtId="176" fontId="55" fillId="0" borderId="81" xfId="0" applyNumberFormat="1" applyFont="1" applyBorder="1" applyAlignment="1">
      <alignment vertical="center"/>
    </xf>
    <xf numFmtId="176" fontId="54" fillId="0" borderId="83" xfId="0" applyNumberFormat="1" applyFont="1" applyBorder="1" applyAlignment="1">
      <alignment vertical="center"/>
    </xf>
    <xf numFmtId="176" fontId="54" fillId="0" borderId="95" xfId="0" applyNumberFormat="1" applyFont="1" applyBorder="1" applyAlignment="1">
      <alignment vertical="center"/>
    </xf>
    <xf numFmtId="176" fontId="54" fillId="0" borderId="81" xfId="0" applyNumberFormat="1" applyFont="1" applyBorder="1" applyAlignment="1">
      <alignment vertical="center"/>
    </xf>
    <xf numFmtId="176" fontId="13" fillId="0" borderId="16" xfId="0" applyNumberFormat="1" applyFont="1" applyFill="1" applyBorder="1" applyAlignment="1">
      <alignment vertical="center"/>
    </xf>
    <xf numFmtId="176" fontId="13" fillId="0" borderId="19" xfId="0" applyNumberFormat="1" applyFont="1" applyFill="1" applyBorder="1" applyAlignment="1">
      <alignment vertical="center"/>
    </xf>
    <xf numFmtId="176" fontId="54" fillId="0" borderId="96" xfId="0" applyNumberFormat="1" applyFont="1" applyBorder="1" applyAlignment="1">
      <alignment vertical="center"/>
    </xf>
    <xf numFmtId="176" fontId="54" fillId="0" borderId="84" xfId="0" applyNumberFormat="1" applyFont="1" applyBorder="1" applyAlignment="1">
      <alignment vertical="center"/>
    </xf>
    <xf numFmtId="176" fontId="54" fillId="0" borderId="97" xfId="0" applyNumberFormat="1" applyFont="1" applyBorder="1" applyAlignment="1">
      <alignment vertical="center"/>
    </xf>
    <xf numFmtId="176" fontId="55" fillId="0" borderId="79" xfId="0" applyNumberFormat="1" applyFont="1" applyBorder="1" applyAlignment="1">
      <alignment vertical="center"/>
    </xf>
    <xf numFmtId="176" fontId="55" fillId="0" borderId="80" xfId="0" applyNumberFormat="1" applyFont="1" applyBorder="1" applyAlignment="1">
      <alignment vertical="center"/>
    </xf>
    <xf numFmtId="176" fontId="54" fillId="0" borderId="93" xfId="0" applyNumberFormat="1" applyFont="1" applyBorder="1" applyAlignment="1">
      <alignment vertical="center"/>
    </xf>
    <xf numFmtId="176" fontId="54" fillId="0" borderId="98" xfId="0" applyNumberFormat="1" applyFont="1" applyBorder="1" applyAlignment="1">
      <alignment vertical="center"/>
    </xf>
    <xf numFmtId="176" fontId="54" fillId="0" borderId="87" xfId="0" applyNumberFormat="1" applyFont="1" applyBorder="1" applyAlignment="1">
      <alignment vertical="center"/>
    </xf>
    <xf numFmtId="176" fontId="54" fillId="0" borderId="88" xfId="0" applyNumberFormat="1" applyFont="1" applyBorder="1" applyAlignment="1">
      <alignment vertical="center"/>
    </xf>
    <xf numFmtId="176" fontId="13" fillId="0" borderId="45" xfId="0" applyNumberFormat="1" applyFont="1" applyFill="1" applyBorder="1" applyAlignment="1">
      <alignment vertical="center"/>
    </xf>
    <xf numFmtId="176" fontId="13" fillId="0" borderId="46" xfId="0" applyNumberFormat="1" applyFont="1" applyFill="1" applyBorder="1" applyAlignment="1">
      <alignment vertical="center"/>
    </xf>
    <xf numFmtId="176" fontId="7" fillId="0" borderId="72" xfId="0" applyNumberFormat="1" applyFont="1" applyFill="1" applyBorder="1" applyAlignment="1">
      <alignment horizontal="distributed" vertical="center" shrinkToFit="1"/>
    </xf>
    <xf numFmtId="191" fontId="56" fillId="0" borderId="22" xfId="0" applyNumberFormat="1" applyFont="1" applyBorder="1" applyAlignment="1">
      <alignment horizontal="distributed" vertical="center" wrapText="1"/>
    </xf>
    <xf numFmtId="191" fontId="57" fillId="0" borderId="38" xfId="0" applyNumberFormat="1" applyFont="1" applyBorder="1" applyAlignment="1">
      <alignment horizontal="right" vertical="center"/>
    </xf>
    <xf numFmtId="191" fontId="58" fillId="0" borderId="38" xfId="0" applyNumberFormat="1" applyFont="1" applyBorder="1" applyAlignment="1">
      <alignment vertical="center"/>
    </xf>
    <xf numFmtId="192" fontId="7" fillId="0" borderId="38" xfId="0" applyNumberFormat="1" applyFont="1" applyFill="1" applyBorder="1" applyAlignment="1">
      <alignment horizontal="right" vertical="center"/>
    </xf>
    <xf numFmtId="176" fontId="6" fillId="0" borderId="52" xfId="0" applyNumberFormat="1" applyFont="1" applyFill="1" applyBorder="1" applyAlignment="1">
      <alignment vertical="center"/>
    </xf>
    <xf numFmtId="189" fontId="6" fillId="0" borderId="46" xfId="0" applyNumberFormat="1" applyFont="1" applyFill="1" applyBorder="1" applyAlignment="1">
      <alignment vertical="center"/>
    </xf>
    <xf numFmtId="177" fontId="6" fillId="0" borderId="47" xfId="0" applyNumberFormat="1" applyFont="1" applyFill="1" applyBorder="1" applyAlignment="1">
      <alignment vertical="center"/>
    </xf>
    <xf numFmtId="0" fontId="0" fillId="0" borderId="38" xfId="0" applyFill="1" applyBorder="1" applyAlignment="1">
      <alignment vertical="center"/>
    </xf>
    <xf numFmtId="176" fontId="7" fillId="0" borderId="38" xfId="0" applyNumberFormat="1" applyFont="1" applyFill="1" applyBorder="1" applyAlignment="1">
      <alignment vertical="center"/>
    </xf>
    <xf numFmtId="176" fontId="6" fillId="0" borderId="62" xfId="0" applyNumberFormat="1" applyFont="1" applyFill="1" applyBorder="1" applyAlignment="1">
      <alignment vertical="center"/>
    </xf>
    <xf numFmtId="189" fontId="6" fillId="0" borderId="99" xfId="0" applyNumberFormat="1" applyFont="1" applyFill="1" applyBorder="1" applyAlignment="1">
      <alignment vertical="center"/>
    </xf>
    <xf numFmtId="0" fontId="7" fillId="0" borderId="0" xfId="0" applyFont="1" applyFill="1" applyBorder="1" applyAlignment="1">
      <alignment vertical="center"/>
    </xf>
    <xf numFmtId="0" fontId="7" fillId="0" borderId="72" xfId="0" applyFont="1" applyFill="1" applyBorder="1" applyAlignment="1">
      <alignment vertical="center"/>
    </xf>
    <xf numFmtId="176" fontId="7" fillId="0" borderId="38" xfId="0" applyNumberFormat="1" applyFont="1" applyFill="1" applyBorder="1" applyAlignment="1">
      <alignment vertical="center" shrinkToFit="1"/>
    </xf>
    <xf numFmtId="176" fontId="7" fillId="0" borderId="37" xfId="0" applyNumberFormat="1" applyFont="1" applyFill="1" applyBorder="1" applyAlignment="1">
      <alignment vertical="center" shrinkToFit="1"/>
    </xf>
    <xf numFmtId="177" fontId="7" fillId="0" borderId="10" xfId="0" applyNumberFormat="1" applyFont="1" applyFill="1" applyBorder="1" applyAlignment="1">
      <alignment vertical="center" shrinkToFit="1"/>
    </xf>
    <xf numFmtId="176" fontId="7" fillId="0" borderId="19"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6" fontId="7" fillId="0" borderId="12" xfId="0" applyNumberFormat="1" applyFont="1" applyFill="1" applyBorder="1" applyAlignment="1">
      <alignment horizontal="right" vertical="center" shrinkToFit="1"/>
    </xf>
    <xf numFmtId="176" fontId="7" fillId="0" borderId="10" xfId="0" applyNumberFormat="1" applyFont="1" applyFill="1" applyBorder="1" applyAlignment="1">
      <alignment horizontal="right" vertical="center" shrinkToFit="1"/>
    </xf>
    <xf numFmtId="0" fontId="6" fillId="0" borderId="12" xfId="0" applyFont="1" applyFill="1" applyBorder="1" applyAlignment="1">
      <alignment vertical="top" wrapText="1"/>
    </xf>
    <xf numFmtId="189" fontId="7" fillId="0" borderId="15" xfId="0" applyNumberFormat="1" applyFont="1" applyFill="1" applyBorder="1" applyAlignment="1">
      <alignment vertical="center" shrinkToFit="1"/>
    </xf>
    <xf numFmtId="176" fontId="6" fillId="0" borderId="38" xfId="0" applyNumberFormat="1" applyFont="1" applyFill="1" applyBorder="1" applyAlignment="1">
      <alignment vertical="top" wrapText="1"/>
    </xf>
    <xf numFmtId="176" fontId="7" fillId="0" borderId="12" xfId="0" applyNumberFormat="1" applyFont="1" applyFill="1" applyBorder="1" applyAlignment="1">
      <alignment vertical="top" wrapText="1"/>
    </xf>
    <xf numFmtId="176" fontId="6" fillId="0" borderId="37" xfId="0" applyNumberFormat="1" applyFont="1" applyFill="1" applyBorder="1" applyAlignment="1">
      <alignment vertical="center" shrinkToFit="1"/>
    </xf>
    <xf numFmtId="0" fontId="7" fillId="0" borderId="64" xfId="0" applyFont="1" applyFill="1" applyBorder="1" applyAlignment="1">
      <alignment horizontal="center" vertical="center"/>
    </xf>
    <xf numFmtId="0" fontId="7" fillId="0" borderId="64" xfId="0" applyFont="1" applyFill="1" applyBorder="1" applyAlignment="1">
      <alignment vertical="center"/>
    </xf>
    <xf numFmtId="0" fontId="7" fillId="0" borderId="65" xfId="0" applyFont="1" applyFill="1" applyBorder="1" applyAlignment="1">
      <alignment vertical="center"/>
    </xf>
    <xf numFmtId="176" fontId="7" fillId="0" borderId="36" xfId="0" applyNumberFormat="1" applyFont="1" applyFill="1" applyBorder="1" applyAlignment="1">
      <alignment vertical="center" shrinkToFit="1"/>
    </xf>
    <xf numFmtId="176" fontId="7" fillId="0" borderId="14" xfId="0" applyNumberFormat="1" applyFont="1" applyFill="1" applyBorder="1" applyAlignment="1">
      <alignment vertical="center" shrinkToFit="1"/>
    </xf>
    <xf numFmtId="176" fontId="7" fillId="0" borderId="100" xfId="0" applyNumberFormat="1" applyFont="1" applyFill="1" applyBorder="1" applyAlignment="1">
      <alignment horizontal="center" vertical="center"/>
    </xf>
    <xf numFmtId="176" fontId="7" fillId="0" borderId="95" xfId="0" applyNumberFormat="1" applyFont="1" applyFill="1" applyBorder="1" applyAlignment="1">
      <alignment vertical="center"/>
    </xf>
    <xf numFmtId="176" fontId="7" fillId="0" borderId="98" xfId="0" applyNumberFormat="1" applyFont="1" applyFill="1" applyBorder="1" applyAlignment="1">
      <alignment vertical="center"/>
    </xf>
    <xf numFmtId="0" fontId="6" fillId="0" borderId="64" xfId="0" applyFont="1" applyFill="1" applyBorder="1" applyAlignment="1">
      <alignment horizontal="center" vertical="center"/>
    </xf>
    <xf numFmtId="176" fontId="7" fillId="0" borderId="20" xfId="0" applyNumberFormat="1" applyFont="1" applyFill="1" applyBorder="1" applyAlignment="1">
      <alignment horizontal="right" vertical="center" shrinkToFit="1"/>
    </xf>
    <xf numFmtId="176" fontId="7" fillId="0" borderId="15" xfId="0" applyNumberFormat="1" applyFont="1" applyFill="1" applyBorder="1" applyAlignment="1">
      <alignment horizontal="right" vertical="center" shrinkToFit="1"/>
    </xf>
    <xf numFmtId="176" fontId="6" fillId="0" borderId="100" xfId="0" applyNumberFormat="1" applyFont="1" applyFill="1" applyBorder="1" applyAlignment="1">
      <alignment horizontal="center" vertical="center"/>
    </xf>
    <xf numFmtId="207" fontId="6" fillId="0" borderId="0" xfId="0" applyNumberFormat="1" applyFont="1" applyAlignment="1">
      <alignment vertical="center"/>
    </xf>
    <xf numFmtId="0" fontId="7" fillId="0" borderId="101" xfId="0" applyFont="1" applyFill="1" applyBorder="1" applyAlignment="1">
      <alignment horizontal="right" vertical="center"/>
    </xf>
    <xf numFmtId="176" fontId="6" fillId="0" borderId="102" xfId="0" applyNumberFormat="1" applyFont="1" applyFill="1" applyBorder="1" applyAlignment="1">
      <alignment vertical="center"/>
    </xf>
    <xf numFmtId="176" fontId="6" fillId="0" borderId="103" xfId="0" applyNumberFormat="1" applyFont="1" applyFill="1" applyBorder="1" applyAlignment="1">
      <alignment vertical="center"/>
    </xf>
    <xf numFmtId="0" fontId="6" fillId="0" borderId="104" xfId="0" applyFont="1" applyFill="1" applyBorder="1" applyAlignment="1">
      <alignment vertical="center"/>
    </xf>
    <xf numFmtId="0" fontId="6" fillId="0" borderId="105" xfId="0" applyFont="1" applyFill="1" applyBorder="1" applyAlignment="1">
      <alignment vertical="center"/>
    </xf>
    <xf numFmtId="176" fontId="6" fillId="0" borderId="101" xfId="0" applyNumberFormat="1" applyFont="1" applyFill="1" applyBorder="1" applyAlignment="1">
      <alignment vertical="center"/>
    </xf>
    <xf numFmtId="176" fontId="6" fillId="0" borderId="106" xfId="0" applyNumberFormat="1" applyFont="1" applyFill="1" applyBorder="1" applyAlignment="1">
      <alignment vertical="center"/>
    </xf>
    <xf numFmtId="189" fontId="6" fillId="0" borderId="76" xfId="0" applyNumberFormat="1" applyFont="1" applyFill="1" applyBorder="1" applyAlignment="1">
      <alignment vertical="center"/>
    </xf>
    <xf numFmtId="177" fontId="6" fillId="0" borderId="75" xfId="0" applyNumberFormat="1" applyFont="1" applyFill="1" applyBorder="1" applyAlignment="1">
      <alignment vertical="center"/>
    </xf>
    <xf numFmtId="176" fontId="7" fillId="0" borderId="74" xfId="0" applyNumberFormat="1" applyFont="1" applyFill="1" applyBorder="1" applyAlignment="1">
      <alignment vertical="center"/>
    </xf>
    <xf numFmtId="176" fontId="7" fillId="0" borderId="76" xfId="0" applyNumberFormat="1" applyFont="1" applyFill="1" applyBorder="1" applyAlignment="1">
      <alignment vertical="center"/>
    </xf>
    <xf numFmtId="189" fontId="7" fillId="0" borderId="76" xfId="0" applyNumberFormat="1" applyFont="1" applyFill="1" applyBorder="1" applyAlignment="1">
      <alignment vertical="center"/>
    </xf>
    <xf numFmtId="176" fontId="6" fillId="0" borderId="25" xfId="0" applyNumberFormat="1" applyFont="1" applyFill="1" applyBorder="1" applyAlignment="1">
      <alignment horizontal="distributed" vertical="top" wrapText="1"/>
    </xf>
    <xf numFmtId="0" fontId="6" fillId="0" borderId="12" xfId="0" applyFont="1" applyFill="1" applyBorder="1" applyAlignment="1">
      <alignment horizontal="distributed" vertical="top" wrapText="1"/>
    </xf>
    <xf numFmtId="0" fontId="0" fillId="0" borderId="12" xfId="0" applyFill="1" applyBorder="1" applyAlignment="1">
      <alignment vertical="center"/>
    </xf>
    <xf numFmtId="176" fontId="6" fillId="0" borderId="24" xfId="0" applyNumberFormat="1" applyFont="1" applyFill="1" applyBorder="1" applyAlignment="1">
      <alignment horizontal="center" vertical="center"/>
    </xf>
    <xf numFmtId="176" fontId="6" fillId="0" borderId="107" xfId="0" applyNumberFormat="1" applyFont="1" applyFill="1" applyBorder="1" applyAlignment="1">
      <alignment horizontal="center" vertical="center"/>
    </xf>
    <xf numFmtId="0" fontId="6" fillId="0" borderId="107" xfId="0" applyFont="1" applyFill="1" applyBorder="1" applyAlignment="1">
      <alignment horizontal="center" vertical="center"/>
    </xf>
    <xf numFmtId="0" fontId="6" fillId="0" borderId="107" xfId="0" applyFont="1" applyFill="1" applyBorder="1" applyAlignment="1">
      <alignment vertical="center"/>
    </xf>
    <xf numFmtId="0" fontId="6" fillId="0" borderId="108" xfId="0" applyFont="1" applyFill="1" applyBorder="1" applyAlignment="1">
      <alignment vertical="center"/>
    </xf>
    <xf numFmtId="176" fontId="7" fillId="0" borderId="83" xfId="0" applyNumberFormat="1" applyFont="1" applyFill="1" applyBorder="1" applyAlignment="1">
      <alignment vertical="center"/>
    </xf>
    <xf numFmtId="176" fontId="7" fillId="0" borderId="79" xfId="0" applyNumberFormat="1" applyFont="1" applyFill="1" applyBorder="1" applyAlignment="1">
      <alignment vertical="center"/>
    </xf>
    <xf numFmtId="176" fontId="7" fillId="0" borderId="80" xfId="0" applyNumberFormat="1" applyFont="1" applyFill="1" applyBorder="1" applyAlignment="1">
      <alignment vertical="center"/>
    </xf>
    <xf numFmtId="176" fontId="5" fillId="0" borderId="0" xfId="0" applyNumberFormat="1" applyFont="1" applyFill="1" applyBorder="1" applyAlignment="1">
      <alignment horizontal="center"/>
    </xf>
    <xf numFmtId="0" fontId="6" fillId="0" borderId="0" xfId="0" applyFont="1" applyFill="1" applyAlignment="1">
      <alignment horizontal="center"/>
    </xf>
    <xf numFmtId="176" fontId="10" fillId="0" borderId="109" xfId="0" applyNumberFormat="1" applyFont="1" applyFill="1" applyBorder="1" applyAlignment="1">
      <alignment horizontal="center" vertical="center"/>
    </xf>
    <xf numFmtId="176" fontId="10" fillId="0" borderId="110" xfId="0" applyNumberFormat="1" applyFont="1" applyFill="1" applyBorder="1" applyAlignment="1">
      <alignment horizontal="center" vertical="center"/>
    </xf>
    <xf numFmtId="176" fontId="10" fillId="0" borderId="38" xfId="0" applyNumberFormat="1" applyFont="1" applyFill="1" applyBorder="1" applyAlignment="1">
      <alignment horizontal="center" vertical="center"/>
    </xf>
    <xf numFmtId="176" fontId="10" fillId="0" borderId="0" xfId="0" applyNumberFormat="1" applyFont="1" applyFill="1" applyBorder="1" applyAlignment="1">
      <alignment horizontal="center" vertical="center"/>
    </xf>
    <xf numFmtId="176" fontId="8" fillId="0" borderId="111" xfId="0" applyNumberFormat="1" applyFont="1" applyFill="1" applyBorder="1" applyAlignment="1">
      <alignment horizontal="center" vertical="center"/>
    </xf>
    <xf numFmtId="0" fontId="9" fillId="0" borderId="112" xfId="0" applyFont="1" applyFill="1" applyBorder="1" applyAlignment="1">
      <alignment horizontal="center" vertical="center"/>
    </xf>
    <xf numFmtId="0" fontId="9" fillId="0" borderId="113" xfId="0" applyFont="1" applyFill="1" applyBorder="1" applyAlignment="1">
      <alignment horizontal="center" vertical="center"/>
    </xf>
    <xf numFmtId="176" fontId="7" fillId="0" borderId="81" xfId="0" applyNumberFormat="1" applyFont="1" applyFill="1" applyBorder="1" applyAlignment="1">
      <alignment vertical="center"/>
    </xf>
    <xf numFmtId="176" fontId="7" fillId="0" borderId="0" xfId="0" applyNumberFormat="1" applyFont="1" applyFill="1" applyBorder="1" applyAlignment="1">
      <alignment vertical="center"/>
    </xf>
    <xf numFmtId="176" fontId="7" fillId="0" borderId="72" xfId="0" applyNumberFormat="1" applyFont="1" applyFill="1" applyBorder="1" applyAlignment="1">
      <alignment vertical="center"/>
    </xf>
    <xf numFmtId="176" fontId="7" fillId="0" borderId="114" xfId="0" applyNumberFormat="1" applyFont="1" applyFill="1" applyBorder="1" applyAlignment="1">
      <alignment horizontal="center" vertical="center"/>
    </xf>
    <xf numFmtId="0" fontId="7" fillId="0" borderId="115" xfId="0" applyFont="1" applyFill="1" applyBorder="1" applyAlignment="1">
      <alignment horizontal="center" vertical="center"/>
    </xf>
    <xf numFmtId="0" fontId="7" fillId="0" borderId="116" xfId="0" applyFont="1" applyFill="1" applyBorder="1" applyAlignment="1">
      <alignment horizontal="center" vertical="center"/>
    </xf>
    <xf numFmtId="176" fontId="10" fillId="0" borderId="89" xfId="0" applyNumberFormat="1" applyFont="1" applyFill="1" applyBorder="1" applyAlignment="1">
      <alignment horizontal="center" vertical="center"/>
    </xf>
    <xf numFmtId="0" fontId="11" fillId="0" borderId="91" xfId="0" applyFont="1" applyFill="1" applyBorder="1" applyAlignment="1">
      <alignment horizontal="center" vertical="center"/>
    </xf>
    <xf numFmtId="0" fontId="11" fillId="0" borderId="92" xfId="0" applyFont="1" applyFill="1" applyBorder="1" applyAlignment="1">
      <alignment horizontal="center" vertical="center"/>
    </xf>
    <xf numFmtId="176" fontId="0" fillId="0" borderId="10" xfId="0" applyNumberFormat="1" applyFont="1" applyBorder="1" applyAlignment="1">
      <alignment horizontal="distributed" vertical="center"/>
    </xf>
    <xf numFmtId="176" fontId="0" fillId="0" borderId="0" xfId="0" applyNumberFormat="1" applyFont="1" applyBorder="1" applyAlignment="1">
      <alignment horizontal="distributed" vertical="center"/>
    </xf>
    <xf numFmtId="176" fontId="0" fillId="0" borderId="72" xfId="0" applyNumberFormat="1" applyFont="1" applyBorder="1" applyAlignment="1">
      <alignment horizontal="distributed" vertical="center"/>
    </xf>
    <xf numFmtId="176" fontId="10" fillId="0" borderId="25" xfId="0" applyNumberFormat="1" applyFont="1" applyFill="1" applyBorder="1" applyAlignment="1">
      <alignment horizontal="distributed" vertical="top" wrapText="1"/>
    </xf>
    <xf numFmtId="176" fontId="10" fillId="0" borderId="12" xfId="0" applyNumberFormat="1" applyFont="1" applyFill="1" applyBorder="1" applyAlignment="1">
      <alignment horizontal="distributed" vertical="top" wrapText="1"/>
    </xf>
    <xf numFmtId="176" fontId="59" fillId="0" borderId="24" xfId="0" applyNumberFormat="1" applyFont="1" applyBorder="1" applyAlignment="1">
      <alignment horizontal="center" vertical="center" shrinkToFit="1"/>
    </xf>
    <xf numFmtId="176" fontId="59" fillId="0" borderId="117" xfId="0" applyNumberFormat="1" applyFont="1" applyBorder="1" applyAlignment="1">
      <alignment horizontal="center" vertical="center" shrinkToFit="1"/>
    </xf>
    <xf numFmtId="176" fontId="59" fillId="0" borderId="118" xfId="0" applyNumberFormat="1" applyFont="1" applyBorder="1" applyAlignment="1">
      <alignment horizontal="center" vertical="center" shrinkToFit="1"/>
    </xf>
    <xf numFmtId="176" fontId="60" fillId="0" borderId="119" xfId="0" applyNumberFormat="1" applyFont="1" applyBorder="1" applyAlignment="1">
      <alignment horizontal="center" vertical="distributed"/>
    </xf>
    <xf numFmtId="176" fontId="60" fillId="0" borderId="120" xfId="0" applyNumberFormat="1" applyFont="1" applyBorder="1" applyAlignment="1">
      <alignment horizontal="center" vertical="distributed"/>
    </xf>
    <xf numFmtId="176" fontId="60" fillId="0" borderId="121" xfId="0" applyNumberFormat="1" applyFont="1" applyBorder="1" applyAlignment="1">
      <alignment horizontal="center" vertical="distributed"/>
    </xf>
    <xf numFmtId="176" fontId="59" fillId="0" borderId="81" xfId="0" applyNumberFormat="1" applyFont="1" applyBorder="1" applyAlignment="1">
      <alignment vertical="center"/>
    </xf>
    <xf numFmtId="176" fontId="59" fillId="0" borderId="0" xfId="0" applyNumberFormat="1" applyFont="1" applyBorder="1" applyAlignment="1">
      <alignment vertical="center"/>
    </xf>
    <xf numFmtId="176" fontId="59" fillId="0" borderId="72" xfId="0" applyNumberFormat="1" applyFont="1" applyBorder="1" applyAlignment="1">
      <alignment vertical="center"/>
    </xf>
    <xf numFmtId="176" fontId="59" fillId="0" borderId="63" xfId="0" applyNumberFormat="1" applyFont="1" applyBorder="1" applyAlignment="1">
      <alignment vertical="center"/>
    </xf>
    <xf numFmtId="176" fontId="59" fillId="0" borderId="64" xfId="0" applyNumberFormat="1" applyFont="1" applyBorder="1" applyAlignment="1">
      <alignment vertical="center"/>
    </xf>
    <xf numFmtId="176" fontId="59" fillId="0" borderId="65" xfId="0" applyNumberFormat="1" applyFont="1" applyBorder="1" applyAlignment="1">
      <alignment vertical="center"/>
    </xf>
    <xf numFmtId="176" fontId="59" fillId="0" borderId="84" xfId="0" applyNumberFormat="1" applyFont="1" applyBorder="1" applyAlignment="1">
      <alignment vertical="center"/>
    </xf>
    <xf numFmtId="176" fontId="59" fillId="0" borderId="85" xfId="0" applyNumberFormat="1" applyFont="1" applyBorder="1" applyAlignment="1">
      <alignment vertical="center"/>
    </xf>
    <xf numFmtId="176" fontId="59" fillId="0" borderId="86" xfId="0" applyNumberFormat="1" applyFont="1" applyBorder="1" applyAlignment="1">
      <alignment vertical="center"/>
    </xf>
    <xf numFmtId="176" fontId="59" fillId="0" borderId="90" xfId="0" applyNumberFormat="1" applyFont="1" applyBorder="1" applyAlignment="1">
      <alignment vertical="center"/>
    </xf>
    <xf numFmtId="176" fontId="59" fillId="0" borderId="87" xfId="0" applyNumberFormat="1" applyFont="1" applyBorder="1" applyAlignment="1">
      <alignment vertical="center"/>
    </xf>
    <xf numFmtId="176" fontId="59" fillId="0" borderId="88" xfId="0" applyNumberFormat="1" applyFont="1" applyBorder="1" applyAlignment="1">
      <alignment vertical="center"/>
    </xf>
    <xf numFmtId="176" fontId="6" fillId="0" borderId="22" xfId="0" applyNumberFormat="1" applyFont="1" applyFill="1" applyBorder="1" applyAlignment="1">
      <alignment horizontal="distributed" vertical="top" wrapText="1"/>
    </xf>
    <xf numFmtId="0" fontId="6" fillId="0" borderId="38" xfId="0" applyFont="1" applyFill="1" applyBorder="1" applyAlignment="1">
      <alignment horizontal="distributed" vertical="top" wrapText="1"/>
    </xf>
    <xf numFmtId="176" fontId="60" fillId="0" borderId="122" xfId="0" applyNumberFormat="1" applyFont="1" applyBorder="1" applyAlignment="1">
      <alignment horizontal="center" vertical="distributed"/>
    </xf>
    <xf numFmtId="176" fontId="59" fillId="0" borderId="103" xfId="0" applyNumberFormat="1" applyFont="1" applyBorder="1" applyAlignment="1">
      <alignment vertical="center"/>
    </xf>
    <xf numFmtId="176" fontId="59" fillId="0" borderId="104" xfId="0" applyNumberFormat="1" applyFont="1" applyBorder="1" applyAlignment="1">
      <alignment vertical="center"/>
    </xf>
    <xf numFmtId="176" fontId="59" fillId="0" borderId="105" xfId="0" applyNumberFormat="1" applyFont="1" applyBorder="1" applyAlignment="1">
      <alignment vertical="center"/>
    </xf>
    <xf numFmtId="176" fontId="7" fillId="0" borderId="25" xfId="0" applyNumberFormat="1" applyFont="1" applyFill="1" applyBorder="1" applyAlignment="1">
      <alignment horizontal="distributed" vertical="top" wrapText="1"/>
    </xf>
    <xf numFmtId="176" fontId="7" fillId="0" borderId="12" xfId="0" applyNumberFormat="1" applyFont="1" applyFill="1" applyBorder="1" applyAlignment="1">
      <alignment horizontal="distributed" vertical="top" wrapText="1"/>
    </xf>
    <xf numFmtId="176" fontId="6" fillId="0" borderId="12" xfId="0" applyNumberFormat="1" applyFont="1" applyFill="1" applyBorder="1" applyAlignment="1">
      <alignment horizontal="distributed" vertical="top" wrapText="1"/>
    </xf>
    <xf numFmtId="0" fontId="0" fillId="0" borderId="12" xfId="0" applyFill="1" applyBorder="1" applyAlignment="1">
      <alignment horizontal="distributed" vertical="center"/>
    </xf>
    <xf numFmtId="176" fontId="6" fillId="0" borderId="10" xfId="0" applyNumberFormat="1" applyFont="1" applyFill="1" applyBorder="1" applyAlignment="1">
      <alignment horizontal="center" vertical="center"/>
    </xf>
    <xf numFmtId="176"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72" xfId="0" applyFont="1" applyFill="1" applyBorder="1" applyAlignment="1">
      <alignment vertical="center"/>
    </xf>
    <xf numFmtId="176" fontId="6" fillId="0" borderId="83" xfId="0" applyNumberFormat="1" applyFont="1" applyFill="1" applyBorder="1" applyAlignment="1">
      <alignment vertical="center"/>
    </xf>
    <xf numFmtId="176" fontId="6" fillId="0" borderId="79" xfId="0" applyNumberFormat="1" applyFont="1" applyFill="1" applyBorder="1" applyAlignment="1">
      <alignment vertical="center"/>
    </xf>
    <xf numFmtId="176" fontId="6" fillId="0" borderId="80" xfId="0" applyNumberFormat="1" applyFont="1" applyFill="1" applyBorder="1" applyAlignment="1">
      <alignment vertical="center"/>
    </xf>
    <xf numFmtId="193" fontId="6" fillId="0" borderId="63" xfId="0" applyNumberFormat="1" applyFont="1" applyFill="1" applyBorder="1" applyAlignment="1">
      <alignment vertical="center" shrinkToFit="1"/>
    </xf>
    <xf numFmtId="193" fontId="6" fillId="0" borderId="64" xfId="0" applyNumberFormat="1" applyFont="1" applyFill="1" applyBorder="1" applyAlignment="1">
      <alignment vertical="center" shrinkToFit="1"/>
    </xf>
    <xf numFmtId="0" fontId="6" fillId="0" borderId="64" xfId="0" applyFont="1" applyFill="1" applyBorder="1" applyAlignment="1">
      <alignment vertical="center" shrinkToFit="1"/>
    </xf>
    <xf numFmtId="193" fontId="6" fillId="0" borderId="84" xfId="0" applyNumberFormat="1" applyFont="1" applyFill="1" applyBorder="1" applyAlignment="1">
      <alignment vertical="center" shrinkToFit="1"/>
    </xf>
    <xf numFmtId="193" fontId="6" fillId="0" borderId="85" xfId="0" applyNumberFormat="1" applyFont="1" applyFill="1" applyBorder="1" applyAlignment="1">
      <alignment vertical="center" shrinkToFit="1"/>
    </xf>
    <xf numFmtId="176" fontId="7" fillId="0" borderId="123" xfId="0" applyNumberFormat="1" applyFont="1" applyFill="1" applyBorder="1" applyAlignment="1">
      <alignment horizontal="center" vertical="center"/>
    </xf>
    <xf numFmtId="0" fontId="7" fillId="0" borderId="124" xfId="0" applyFont="1" applyFill="1" applyBorder="1" applyAlignment="1">
      <alignment horizontal="center" vertical="center"/>
    </xf>
    <xf numFmtId="0" fontId="7" fillId="0" borderId="125" xfId="0" applyFont="1" applyFill="1" applyBorder="1" applyAlignment="1">
      <alignment horizontal="center" vertical="center"/>
    </xf>
    <xf numFmtId="176" fontId="7" fillId="0" borderId="126" xfId="0" applyNumberFormat="1" applyFont="1" applyFill="1" applyBorder="1" applyAlignment="1">
      <alignment horizontal="center" vertical="center"/>
    </xf>
    <xf numFmtId="0" fontId="7" fillId="0" borderId="127" xfId="0" applyFont="1" applyFill="1" applyBorder="1" applyAlignment="1">
      <alignment horizontal="center" vertical="center"/>
    </xf>
    <xf numFmtId="0" fontId="7" fillId="0" borderId="128" xfId="0" applyFont="1" applyFill="1" applyBorder="1" applyAlignment="1">
      <alignment horizontal="center" vertical="center"/>
    </xf>
    <xf numFmtId="191" fontId="56" fillId="0" borderId="24" xfId="0" applyNumberFormat="1" applyFont="1" applyBorder="1" applyAlignment="1">
      <alignment horizontal="center" vertical="center"/>
    </xf>
    <xf numFmtId="191" fontId="56" fillId="0" borderId="107" xfId="0" applyNumberFormat="1" applyFont="1" applyBorder="1" applyAlignment="1">
      <alignment horizontal="center" vertical="center"/>
    </xf>
    <xf numFmtId="191" fontId="56" fillId="0" borderId="107" xfId="0" applyNumberFormat="1" applyFont="1" applyBorder="1" applyAlignment="1">
      <alignment vertical="center"/>
    </xf>
    <xf numFmtId="191" fontId="56" fillId="0" borderId="108" xfId="0" applyNumberFormat="1" applyFont="1" applyBorder="1" applyAlignment="1">
      <alignment vertical="center"/>
    </xf>
    <xf numFmtId="191" fontId="57" fillId="0" borderId="119" xfId="0" applyNumberFormat="1" applyFont="1" applyBorder="1" applyAlignment="1">
      <alignment horizontal="center" vertical="distributed"/>
    </xf>
    <xf numFmtId="191" fontId="57" fillId="0" borderId="120" xfId="0" applyNumberFormat="1" applyFont="1" applyBorder="1" applyAlignment="1">
      <alignment horizontal="center" vertical="distributed"/>
    </xf>
    <xf numFmtId="191" fontId="57" fillId="0" borderId="121" xfId="0" applyNumberFormat="1" applyFont="1" applyBorder="1" applyAlignment="1">
      <alignment horizontal="center" vertical="distributed"/>
    </xf>
    <xf numFmtId="191" fontId="56" fillId="0" borderId="63" xfId="0" applyNumberFormat="1" applyFont="1" applyBorder="1" applyAlignment="1">
      <alignment vertical="center"/>
    </xf>
    <xf numFmtId="191" fontId="56" fillId="0" borderId="64" xfId="0" applyNumberFormat="1" applyFont="1" applyBorder="1" applyAlignment="1">
      <alignment vertical="center"/>
    </xf>
    <xf numFmtId="191" fontId="56" fillId="0" borderId="65" xfId="0" applyNumberFormat="1" applyFont="1" applyBorder="1" applyAlignment="1">
      <alignment vertical="center"/>
    </xf>
    <xf numFmtId="191" fontId="56" fillId="0" borderId="129" xfId="0" applyNumberFormat="1" applyFont="1" applyBorder="1" applyAlignment="1">
      <alignment vertical="center"/>
    </xf>
    <xf numFmtId="191" fontId="56" fillId="0" borderId="130" xfId="0" applyNumberFormat="1" applyFont="1" applyBorder="1" applyAlignment="1">
      <alignment vertical="center"/>
    </xf>
    <xf numFmtId="191" fontId="56" fillId="0" borderId="131" xfId="0" applyNumberFormat="1" applyFont="1" applyBorder="1" applyAlignment="1">
      <alignment vertical="center"/>
    </xf>
    <xf numFmtId="176" fontId="6" fillId="0" borderId="24" xfId="0" applyNumberFormat="1" applyFont="1" applyFill="1" applyBorder="1" applyAlignment="1">
      <alignment horizontal="left" vertical="center"/>
    </xf>
    <xf numFmtId="0" fontId="6" fillId="0" borderId="107" xfId="0" applyFont="1" applyFill="1" applyBorder="1" applyAlignment="1">
      <alignment horizontal="left" vertical="center"/>
    </xf>
    <xf numFmtId="0" fontId="6" fillId="0" borderId="108" xfId="0" applyFont="1" applyFill="1" applyBorder="1" applyAlignment="1">
      <alignment horizontal="left" vertical="center"/>
    </xf>
    <xf numFmtId="176" fontId="6" fillId="0" borderId="25" xfId="0" applyNumberFormat="1" applyFont="1" applyFill="1" applyBorder="1" applyAlignment="1">
      <alignment horizontal="distributed" vertical="center" wrapText="1"/>
    </xf>
    <xf numFmtId="0" fontId="0" fillId="0" borderId="12" xfId="0" applyFont="1" applyFill="1" applyBorder="1" applyAlignment="1">
      <alignment vertical="center"/>
    </xf>
    <xf numFmtId="176" fontId="6" fillId="0" borderId="0" xfId="0" applyNumberFormat="1" applyFont="1" applyFill="1" applyBorder="1" applyAlignment="1">
      <alignment vertical="center" wrapText="1"/>
    </xf>
    <xf numFmtId="0" fontId="6" fillId="0" borderId="0" xfId="0" applyFont="1" applyFill="1" applyBorder="1" applyAlignment="1">
      <alignment vertical="center" wrapText="1"/>
    </xf>
    <xf numFmtId="176" fontId="6" fillId="0" borderId="87" xfId="0" applyNumberFormat="1" applyFont="1" applyFill="1" applyBorder="1" applyAlignment="1">
      <alignment vertical="center"/>
    </xf>
    <xf numFmtId="0" fontId="6" fillId="0" borderId="87" xfId="0" applyFont="1" applyFill="1" applyBorder="1" applyAlignment="1">
      <alignment vertical="center"/>
    </xf>
    <xf numFmtId="0" fontId="6" fillId="0" borderId="88" xfId="0" applyFont="1" applyFill="1" applyBorder="1" applyAlignment="1">
      <alignment vertical="center"/>
    </xf>
    <xf numFmtId="0" fontId="6" fillId="0" borderId="12" xfId="0" applyFont="1" applyFill="1" applyBorder="1" applyAlignment="1">
      <alignment vertical="top" wrapText="1"/>
    </xf>
    <xf numFmtId="176" fontId="6" fillId="0" borderId="63" xfId="0" applyNumberFormat="1" applyFont="1" applyFill="1" applyBorder="1" applyAlignment="1">
      <alignment horizontal="left" vertical="center" shrinkToFit="1"/>
    </xf>
    <xf numFmtId="0" fontId="0" fillId="0" borderId="64" xfId="0" applyBorder="1" applyAlignment="1">
      <alignment vertical="center" shrinkToFit="1"/>
    </xf>
    <xf numFmtId="0" fontId="0" fillId="0" borderId="65" xfId="0" applyBorder="1" applyAlignment="1">
      <alignment vertical="center" shrinkToFit="1"/>
    </xf>
    <xf numFmtId="176" fontId="6" fillId="0" borderId="132" xfId="0" applyNumberFormat="1" applyFont="1" applyFill="1" applyBorder="1" applyAlignment="1">
      <alignment horizontal="left" vertical="center"/>
    </xf>
    <xf numFmtId="176" fontId="6" fillId="0" borderId="91" xfId="0" applyNumberFormat="1" applyFont="1" applyFill="1" applyBorder="1" applyAlignment="1">
      <alignment horizontal="left" vertical="center"/>
    </xf>
    <xf numFmtId="176" fontId="6" fillId="0" borderId="92" xfId="0" applyNumberFormat="1" applyFont="1" applyFill="1" applyBorder="1" applyAlignment="1">
      <alignment horizontal="left" vertical="center"/>
    </xf>
    <xf numFmtId="193" fontId="6" fillId="0" borderId="63" xfId="0" applyNumberFormat="1" applyFont="1" applyFill="1" applyBorder="1" applyAlignment="1">
      <alignment vertical="center"/>
    </xf>
    <xf numFmtId="193" fontId="6" fillId="0" borderId="64" xfId="0" applyNumberFormat="1" applyFont="1" applyFill="1" applyBorder="1" applyAlignment="1">
      <alignment vertical="center"/>
    </xf>
    <xf numFmtId="0" fontId="6" fillId="0" borderId="64" xfId="0" applyFont="1" applyFill="1" applyBorder="1" applyAlignment="1">
      <alignment vertical="center"/>
    </xf>
    <xf numFmtId="0" fontId="0" fillId="0" borderId="64" xfId="0" applyFill="1" applyBorder="1" applyAlignment="1">
      <alignment vertical="center" shrinkToFit="1"/>
    </xf>
    <xf numFmtId="0" fontId="0" fillId="0" borderId="64" xfId="0" applyFill="1" applyBorder="1" applyAlignment="1">
      <alignment vertical="center"/>
    </xf>
    <xf numFmtId="176" fontId="6" fillId="0" borderId="90" xfId="0" applyNumberFormat="1" applyFont="1" applyFill="1" applyBorder="1" applyAlignment="1">
      <alignment vertical="center"/>
    </xf>
    <xf numFmtId="176" fontId="6" fillId="0" borderId="88" xfId="0" applyNumberFormat="1" applyFont="1" applyFill="1" applyBorder="1" applyAlignment="1">
      <alignment vertical="center"/>
    </xf>
    <xf numFmtId="176" fontId="6" fillId="0" borderId="22" xfId="0" applyNumberFormat="1" applyFont="1" applyFill="1" applyBorder="1" applyAlignment="1">
      <alignment vertical="top" wrapText="1"/>
    </xf>
    <xf numFmtId="176" fontId="6" fillId="0" borderId="38" xfId="0" applyNumberFormat="1" applyFont="1" applyFill="1" applyBorder="1" applyAlignment="1">
      <alignment vertical="top" wrapText="1"/>
    </xf>
    <xf numFmtId="176" fontId="6" fillId="0" borderId="67" xfId="0" applyNumberFormat="1" applyFont="1" applyFill="1" applyBorder="1" applyAlignment="1">
      <alignment horizontal="center" vertical="center"/>
    </xf>
    <xf numFmtId="0" fontId="6" fillId="0" borderId="133" xfId="0" applyFont="1" applyFill="1" applyBorder="1" applyAlignment="1">
      <alignment horizontal="center" vertical="center"/>
    </xf>
    <xf numFmtId="0" fontId="6" fillId="0" borderId="134" xfId="0" applyFont="1" applyFill="1" applyBorder="1" applyAlignment="1">
      <alignment horizontal="center" vertical="center"/>
    </xf>
    <xf numFmtId="176" fontId="6" fillId="0" borderId="110" xfId="0" applyNumberFormat="1" applyFont="1" applyFill="1" applyBorder="1" applyAlignment="1">
      <alignment vertical="center" wrapText="1"/>
    </xf>
    <xf numFmtId="0" fontId="6" fillId="0" borderId="110" xfId="0" applyFont="1" applyFill="1" applyBorder="1" applyAlignment="1">
      <alignment vertical="center" wrapText="1"/>
    </xf>
    <xf numFmtId="193" fontId="6" fillId="0" borderId="129" xfId="0" applyNumberFormat="1" applyFont="1" applyFill="1" applyBorder="1" applyAlignment="1">
      <alignment vertical="center" shrinkToFit="1"/>
    </xf>
    <xf numFmtId="0" fontId="6" fillId="0" borderId="130" xfId="0" applyFont="1" applyFill="1" applyBorder="1" applyAlignment="1">
      <alignment vertical="center" shrinkToFit="1"/>
    </xf>
    <xf numFmtId="193" fontId="6" fillId="0" borderId="135" xfId="0" applyNumberFormat="1" applyFont="1" applyFill="1" applyBorder="1" applyAlignment="1">
      <alignment vertical="center" shrinkToFit="1"/>
    </xf>
    <xf numFmtId="193" fontId="6" fillId="0" borderId="136" xfId="0" applyNumberFormat="1" applyFont="1" applyFill="1" applyBorder="1" applyAlignment="1">
      <alignment vertical="center" shrinkToFit="1"/>
    </xf>
    <xf numFmtId="176" fontId="7" fillId="0" borderId="63" xfId="0" applyNumberFormat="1" applyFont="1" applyFill="1" applyBorder="1" applyAlignment="1">
      <alignment horizontal="left" vertical="center" shrinkToFit="1"/>
    </xf>
    <xf numFmtId="176" fontId="7" fillId="0" borderId="64" xfId="0" applyNumberFormat="1" applyFont="1" applyFill="1" applyBorder="1" applyAlignment="1">
      <alignment horizontal="left" vertical="center" shrinkToFit="1"/>
    </xf>
    <xf numFmtId="176" fontId="7" fillId="0" borderId="65" xfId="0" applyNumberFormat="1" applyFont="1" applyFill="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129"/>
  <sheetViews>
    <sheetView tabSelected="1" view="pageBreakPreview" zoomScaleSheetLayoutView="100" zoomScalePageLayoutView="0" workbookViewId="0" topLeftCell="A46">
      <selection activeCell="Q56" sqref="Q56:S56"/>
    </sheetView>
  </sheetViews>
  <sheetFormatPr defaultColWidth="9.00390625" defaultRowHeight="19.5" customHeight="1"/>
  <cols>
    <col min="1" max="1" width="17.625" style="161" customWidth="1"/>
    <col min="2" max="2" width="3.125" style="161" customWidth="1"/>
    <col min="3" max="3" width="2.125" style="161" customWidth="1"/>
    <col min="4" max="4" width="2.50390625" style="161" customWidth="1"/>
    <col min="5" max="5" width="2.25390625" style="161" customWidth="1"/>
    <col min="6" max="6" width="14.875" style="161" customWidth="1"/>
    <col min="7" max="8" width="14.625" style="161" customWidth="1"/>
    <col min="9" max="11" width="12.625" style="161" customWidth="1"/>
    <col min="12" max="12" width="0.875" style="161" customWidth="1"/>
    <col min="13" max="13" width="1.00390625" style="161" customWidth="1"/>
    <col min="14" max="14" width="17.625" style="161" customWidth="1"/>
    <col min="15" max="15" width="3.125" style="161" customWidth="1"/>
    <col min="16" max="16" width="2.00390625" style="161" customWidth="1"/>
    <col min="17" max="17" width="2.50390625" style="161" customWidth="1"/>
    <col min="18" max="18" width="2.25390625" style="161" customWidth="1"/>
    <col min="19" max="19" width="14.875" style="161" customWidth="1"/>
    <col min="20" max="21" width="14.625" style="161" customWidth="1"/>
    <col min="22" max="24" width="12.625" style="161" customWidth="1"/>
    <col min="25" max="25" width="1.00390625" style="1" hidden="1" customWidth="1"/>
    <col min="26" max="26" width="13.125" style="1" bestFit="1" customWidth="1"/>
    <col min="27" max="27" width="9.00390625" style="1" customWidth="1"/>
    <col min="28" max="28" width="3.75390625" style="1" customWidth="1"/>
    <col min="29" max="30" width="9.00390625" style="1" customWidth="1"/>
    <col min="31" max="31" width="4.00390625" style="1" customWidth="1"/>
    <col min="32" max="16384" width="9.00390625" style="1" customWidth="1"/>
  </cols>
  <sheetData>
    <row r="1" spans="1:24" s="2" customFormat="1" ht="30" customHeight="1">
      <c r="A1" s="381" t="s">
        <v>93</v>
      </c>
      <c r="B1" s="382"/>
      <c r="C1" s="382"/>
      <c r="D1" s="382"/>
      <c r="E1" s="382"/>
      <c r="F1" s="382"/>
      <c r="G1" s="382"/>
      <c r="H1" s="382"/>
      <c r="I1" s="382"/>
      <c r="J1" s="382"/>
      <c r="K1" s="382"/>
      <c r="L1" s="147"/>
      <c r="M1" s="147"/>
      <c r="N1" s="381" t="s">
        <v>94</v>
      </c>
      <c r="O1" s="382"/>
      <c r="P1" s="382"/>
      <c r="Q1" s="382"/>
      <c r="R1" s="382"/>
      <c r="S1" s="382"/>
      <c r="T1" s="382"/>
      <c r="U1" s="382"/>
      <c r="V1" s="382"/>
      <c r="W1" s="382"/>
      <c r="X1" s="382"/>
    </row>
    <row r="2" spans="1:24" s="2" customFormat="1" ht="27" customHeight="1" thickBot="1">
      <c r="A2" s="196"/>
      <c r="B2" s="196"/>
      <c r="C2" s="196"/>
      <c r="D2" s="196"/>
      <c r="E2" s="196"/>
      <c r="F2" s="196"/>
      <c r="G2" s="148"/>
      <c r="H2" s="148"/>
      <c r="I2" s="148"/>
      <c r="J2" s="148"/>
      <c r="K2" s="293">
        <f>+X2</f>
        <v>44313</v>
      </c>
      <c r="L2" s="149"/>
      <c r="M2" s="148"/>
      <c r="N2" s="148"/>
      <c r="O2" s="148"/>
      <c r="P2" s="148"/>
      <c r="Q2" s="148"/>
      <c r="R2" s="148"/>
      <c r="S2" s="148"/>
      <c r="T2" s="148"/>
      <c r="U2" s="148"/>
      <c r="V2" s="150"/>
      <c r="W2" s="150"/>
      <c r="X2" s="292">
        <v>44313</v>
      </c>
    </row>
    <row r="3" spans="1:24" s="3" customFormat="1" ht="19.5" customHeight="1">
      <c r="A3" s="383" t="s">
        <v>86</v>
      </c>
      <c r="B3" s="384"/>
      <c r="C3" s="384"/>
      <c r="D3" s="384"/>
      <c r="E3" s="384"/>
      <c r="F3" s="384"/>
      <c r="G3" s="387" t="s">
        <v>65</v>
      </c>
      <c r="H3" s="388"/>
      <c r="I3" s="388"/>
      <c r="J3" s="388"/>
      <c r="K3" s="388"/>
      <c r="L3" s="175"/>
      <c r="M3" s="173"/>
      <c r="N3" s="383" t="s">
        <v>86</v>
      </c>
      <c r="O3" s="384"/>
      <c r="P3" s="384"/>
      <c r="Q3" s="384"/>
      <c r="R3" s="384"/>
      <c r="S3" s="384"/>
      <c r="T3" s="387" t="s">
        <v>72</v>
      </c>
      <c r="U3" s="388"/>
      <c r="V3" s="388"/>
      <c r="W3" s="388"/>
      <c r="X3" s="389"/>
    </row>
    <row r="4" spans="1:24" s="3" customFormat="1" ht="19.5" customHeight="1">
      <c r="A4" s="385"/>
      <c r="B4" s="386"/>
      <c r="C4" s="386"/>
      <c r="D4" s="386"/>
      <c r="E4" s="386"/>
      <c r="F4" s="386"/>
      <c r="G4" s="92" t="s">
        <v>95</v>
      </c>
      <c r="H4" s="93" t="s">
        <v>96</v>
      </c>
      <c r="I4" s="94" t="s">
        <v>21</v>
      </c>
      <c r="J4" s="94" t="s">
        <v>12</v>
      </c>
      <c r="K4" s="94" t="s">
        <v>39</v>
      </c>
      <c r="L4" s="176"/>
      <c r="M4" s="174"/>
      <c r="N4" s="385"/>
      <c r="O4" s="386"/>
      <c r="P4" s="386"/>
      <c r="Q4" s="386"/>
      <c r="R4" s="386"/>
      <c r="S4" s="386"/>
      <c r="T4" s="92" t="str">
        <f>+G4</f>
        <v>令2（今回）</v>
      </c>
      <c r="U4" s="94" t="str">
        <f>+H4</f>
        <v>平27（前回）</v>
      </c>
      <c r="V4" s="94" t="s">
        <v>21</v>
      </c>
      <c r="W4" s="151" t="s">
        <v>12</v>
      </c>
      <c r="X4" s="152" t="s">
        <v>39</v>
      </c>
    </row>
    <row r="5" spans="1:24" s="3" customFormat="1" ht="24.75" customHeight="1" thickBot="1">
      <c r="A5" s="396" t="s">
        <v>79</v>
      </c>
      <c r="B5" s="397"/>
      <c r="C5" s="397"/>
      <c r="D5" s="397"/>
      <c r="E5" s="397"/>
      <c r="F5" s="398"/>
      <c r="G5" s="95" t="s">
        <v>47</v>
      </c>
      <c r="H5" s="96" t="s">
        <v>48</v>
      </c>
      <c r="I5" s="97" t="s">
        <v>49</v>
      </c>
      <c r="J5" s="97" t="s">
        <v>50</v>
      </c>
      <c r="K5" s="97" t="s">
        <v>51</v>
      </c>
      <c r="L5" s="176"/>
      <c r="M5" s="174"/>
      <c r="N5" s="396" t="s">
        <v>79</v>
      </c>
      <c r="O5" s="397"/>
      <c r="P5" s="397"/>
      <c r="Q5" s="397"/>
      <c r="R5" s="397"/>
      <c r="S5" s="398"/>
      <c r="T5" s="95" t="s">
        <v>52</v>
      </c>
      <c r="U5" s="97" t="s">
        <v>53</v>
      </c>
      <c r="V5" s="97" t="s">
        <v>54</v>
      </c>
      <c r="W5" s="97" t="s">
        <v>55</v>
      </c>
      <c r="X5" s="153" t="s">
        <v>51</v>
      </c>
    </row>
    <row r="6" spans="1:24" s="3" customFormat="1" ht="25.5" customHeight="1" thickTop="1">
      <c r="A6" s="214" t="s">
        <v>1</v>
      </c>
      <c r="B6" s="399" t="s">
        <v>0</v>
      </c>
      <c r="C6" s="400"/>
      <c r="D6" s="400"/>
      <c r="E6" s="400"/>
      <c r="F6" s="401"/>
      <c r="G6" s="294">
        <v>12474</v>
      </c>
      <c r="H6" s="295">
        <v>17979</v>
      </c>
      <c r="I6" s="4">
        <f aca="true" t="shared" si="0" ref="I6:I38">SUM(G6-H6)</f>
        <v>-5505</v>
      </c>
      <c r="J6" s="5">
        <f aca="true" t="shared" si="1" ref="J6:J38">SUM(G6/H6*100)-100</f>
        <v>-30.61905556482563</v>
      </c>
      <c r="K6" s="6">
        <f>SUM(G6/G6*100)</f>
        <v>100</v>
      </c>
      <c r="L6" s="177"/>
      <c r="M6" s="172"/>
      <c r="N6" s="214" t="s">
        <v>1</v>
      </c>
      <c r="O6" s="399" t="s">
        <v>0</v>
      </c>
      <c r="P6" s="400"/>
      <c r="Q6" s="400"/>
      <c r="R6" s="400"/>
      <c r="S6" s="401"/>
      <c r="T6" s="7">
        <v>1092250</v>
      </c>
      <c r="U6" s="197">
        <v>1404488</v>
      </c>
      <c r="V6" s="8">
        <f aca="true" t="shared" si="2" ref="V6:V38">SUM(T6-U6)</f>
        <v>-312238</v>
      </c>
      <c r="W6" s="5">
        <f aca="true" t="shared" si="3" ref="W6:W38">SUM(T6/U6*100)-100</f>
        <v>-22.231446619693443</v>
      </c>
      <c r="X6" s="9">
        <f>SUM(T6/T6*100)</f>
        <v>100</v>
      </c>
    </row>
    <row r="7" spans="1:24" s="3" customFormat="1" ht="25.5" customHeight="1">
      <c r="A7" s="62" t="s">
        <v>5</v>
      </c>
      <c r="B7" s="296"/>
      <c r="C7" s="297" t="s">
        <v>19</v>
      </c>
      <c r="D7" s="298"/>
      <c r="E7" s="298"/>
      <c r="F7" s="299"/>
      <c r="G7" s="300">
        <v>12356</v>
      </c>
      <c r="H7" s="301">
        <v>17759</v>
      </c>
      <c r="I7" s="10">
        <f t="shared" si="0"/>
        <v>-5403</v>
      </c>
      <c r="J7" s="200">
        <f t="shared" si="1"/>
        <v>-30.42401036094374</v>
      </c>
      <c r="K7" s="11">
        <f>SUM(G7/G6*100)</f>
        <v>99.05403238736572</v>
      </c>
      <c r="L7" s="177"/>
      <c r="M7" s="172"/>
      <c r="N7" s="62" t="s">
        <v>5</v>
      </c>
      <c r="O7" s="296"/>
      <c r="P7" s="297" t="s">
        <v>19</v>
      </c>
      <c r="Q7" s="298"/>
      <c r="R7" s="298"/>
      <c r="S7" s="299"/>
      <c r="T7" s="12">
        <v>1075705</v>
      </c>
      <c r="U7" s="13">
        <v>1377266</v>
      </c>
      <c r="V7" s="14">
        <f t="shared" si="2"/>
        <v>-301561</v>
      </c>
      <c r="W7" s="15">
        <f t="shared" si="3"/>
        <v>-21.89562510074306</v>
      </c>
      <c r="X7" s="16">
        <f>SUM(T7/T6*100)</f>
        <v>98.48523689631494</v>
      </c>
    </row>
    <row r="8" spans="1:24" s="3" customFormat="1" ht="25.5" customHeight="1">
      <c r="A8" s="62"/>
      <c r="B8" s="296"/>
      <c r="C8" s="302"/>
      <c r="D8" s="303" t="s">
        <v>97</v>
      </c>
      <c r="E8" s="298"/>
      <c r="F8" s="299"/>
      <c r="G8" s="300">
        <v>11331</v>
      </c>
      <c r="H8" s="301">
        <v>16778</v>
      </c>
      <c r="I8" s="18">
        <f t="shared" si="0"/>
        <v>-5447</v>
      </c>
      <c r="J8" s="19">
        <f t="shared" si="1"/>
        <v>-32.465132912146856</v>
      </c>
      <c r="K8" s="11">
        <f>SUM(G8/G7*100)</f>
        <v>91.70443509226287</v>
      </c>
      <c r="L8" s="177"/>
      <c r="M8" s="172"/>
      <c r="N8" s="62"/>
      <c r="O8" s="296"/>
      <c r="P8" s="302"/>
      <c r="Q8" s="303" t="s">
        <v>97</v>
      </c>
      <c r="R8" s="298"/>
      <c r="S8" s="299"/>
      <c r="T8" s="20">
        <v>1037342</v>
      </c>
      <c r="U8" s="21">
        <v>1339964</v>
      </c>
      <c r="V8" s="22">
        <f t="shared" si="2"/>
        <v>-302622</v>
      </c>
      <c r="W8" s="11">
        <f t="shared" si="3"/>
        <v>-22.58433808669487</v>
      </c>
      <c r="X8" s="16">
        <f>SUM(T8/T7*100)</f>
        <v>96.43368767459481</v>
      </c>
    </row>
    <row r="9" spans="1:24" s="3" customFormat="1" ht="25.5" customHeight="1">
      <c r="A9" s="62"/>
      <c r="B9" s="296"/>
      <c r="C9" s="302"/>
      <c r="D9" s="303" t="s">
        <v>98</v>
      </c>
      <c r="E9" s="298"/>
      <c r="F9" s="299"/>
      <c r="G9" s="300">
        <v>1025</v>
      </c>
      <c r="H9" s="301">
        <v>981</v>
      </c>
      <c r="I9" s="23">
        <f t="shared" si="0"/>
        <v>44</v>
      </c>
      <c r="J9" s="19">
        <f t="shared" si="1"/>
        <v>4.485219164118234</v>
      </c>
      <c r="K9" s="11">
        <f>SUM(G9/G7*100)</f>
        <v>8.295564907737132</v>
      </c>
      <c r="L9" s="177"/>
      <c r="M9" s="172"/>
      <c r="N9" s="62"/>
      <c r="O9" s="296"/>
      <c r="P9" s="302"/>
      <c r="Q9" s="303" t="s">
        <v>98</v>
      </c>
      <c r="R9" s="298"/>
      <c r="S9" s="299"/>
      <c r="T9" s="24">
        <v>38363</v>
      </c>
      <c r="U9" s="25">
        <v>37302</v>
      </c>
      <c r="V9" s="22">
        <f t="shared" si="2"/>
        <v>1061</v>
      </c>
      <c r="W9" s="11">
        <f t="shared" si="3"/>
        <v>2.8443515093024416</v>
      </c>
      <c r="X9" s="16">
        <f>SUM(T9/T7*100)</f>
        <v>3.566312325405199</v>
      </c>
    </row>
    <row r="10" spans="1:26" s="3" customFormat="1" ht="25.5" customHeight="1">
      <c r="A10" s="62"/>
      <c r="B10" s="296"/>
      <c r="C10" s="304"/>
      <c r="D10" s="305"/>
      <c r="E10" s="303" t="s">
        <v>99</v>
      </c>
      <c r="F10" s="299"/>
      <c r="G10" s="306">
        <v>760</v>
      </c>
      <c r="H10" s="307">
        <v>591</v>
      </c>
      <c r="I10" s="18">
        <f t="shared" si="0"/>
        <v>169</v>
      </c>
      <c r="J10" s="19">
        <f t="shared" si="1"/>
        <v>28.595600676818947</v>
      </c>
      <c r="K10" s="11">
        <f>SUM(G10/G7*100)</f>
        <v>6.150857882809971</v>
      </c>
      <c r="L10" s="177"/>
      <c r="M10" s="172"/>
      <c r="N10" s="62"/>
      <c r="O10" s="296"/>
      <c r="P10" s="304"/>
      <c r="Q10" s="305"/>
      <c r="R10" s="303" t="s">
        <v>99</v>
      </c>
      <c r="S10" s="299"/>
      <c r="T10" s="20">
        <v>30707</v>
      </c>
      <c r="U10" s="21">
        <v>27101</v>
      </c>
      <c r="V10" s="22">
        <f t="shared" si="2"/>
        <v>3606</v>
      </c>
      <c r="W10" s="11">
        <f t="shared" si="3"/>
        <v>13.3057820744622</v>
      </c>
      <c r="X10" s="16">
        <f>SUM(T10/T7*100)</f>
        <v>2.854593034335622</v>
      </c>
      <c r="Z10" s="357"/>
    </row>
    <row r="11" spans="1:24" s="3" customFormat="1" ht="25.5" customHeight="1">
      <c r="A11" s="62"/>
      <c r="B11" s="296"/>
      <c r="C11" s="305"/>
      <c r="D11" s="305"/>
      <c r="E11" s="305"/>
      <c r="F11" s="308" t="s">
        <v>22</v>
      </c>
      <c r="G11" s="306">
        <v>497</v>
      </c>
      <c r="H11" s="307">
        <v>358</v>
      </c>
      <c r="I11" s="18">
        <f t="shared" si="0"/>
        <v>139</v>
      </c>
      <c r="J11" s="19">
        <f t="shared" si="1"/>
        <v>38.82681564245809</v>
      </c>
      <c r="K11" s="11">
        <f>SUM(G11/G7*100)</f>
        <v>4.022337325995467</v>
      </c>
      <c r="L11" s="177"/>
      <c r="M11" s="172"/>
      <c r="N11" s="62"/>
      <c r="O11" s="296"/>
      <c r="P11" s="305"/>
      <c r="Q11" s="305"/>
      <c r="R11" s="305"/>
      <c r="S11" s="308" t="s">
        <v>22</v>
      </c>
      <c r="T11" s="20">
        <v>7329</v>
      </c>
      <c r="U11" s="21">
        <v>6199</v>
      </c>
      <c r="V11" s="22">
        <f t="shared" si="2"/>
        <v>1130</v>
      </c>
      <c r="W11" s="11">
        <f t="shared" si="3"/>
        <v>18.22874657202776</v>
      </c>
      <c r="X11" s="16">
        <f>SUM(T11/T7*100)</f>
        <v>0.6813206222895682</v>
      </c>
    </row>
    <row r="12" spans="1:24" s="3" customFormat="1" ht="25.5" customHeight="1">
      <c r="A12" s="62"/>
      <c r="B12" s="296"/>
      <c r="C12" s="304"/>
      <c r="D12" s="305"/>
      <c r="E12" s="305"/>
      <c r="F12" s="308" t="s">
        <v>100</v>
      </c>
      <c r="G12" s="306">
        <v>207</v>
      </c>
      <c r="H12" s="307">
        <v>151</v>
      </c>
      <c r="I12" s="18">
        <f t="shared" si="0"/>
        <v>56</v>
      </c>
      <c r="J12" s="19">
        <f t="shared" si="1"/>
        <v>37.086092715231786</v>
      </c>
      <c r="K12" s="11">
        <f>SUM(G12/G7*100)</f>
        <v>1.6752994496600842</v>
      </c>
      <c r="L12" s="177"/>
      <c r="M12" s="172"/>
      <c r="N12" s="62"/>
      <c r="O12" s="296"/>
      <c r="P12" s="304"/>
      <c r="Q12" s="305"/>
      <c r="R12" s="305"/>
      <c r="S12" s="308" t="s">
        <v>100</v>
      </c>
      <c r="T12" s="20">
        <v>19977</v>
      </c>
      <c r="U12" s="21">
        <v>16573</v>
      </c>
      <c r="V12" s="22">
        <f t="shared" si="2"/>
        <v>3404</v>
      </c>
      <c r="W12" s="11">
        <f t="shared" si="3"/>
        <v>20.53943160562362</v>
      </c>
      <c r="X12" s="16">
        <f>SUM(T12/T7*100)</f>
        <v>1.8571076642759865</v>
      </c>
    </row>
    <row r="13" spans="1:24" s="3" customFormat="1" ht="25.5" customHeight="1">
      <c r="A13" s="62"/>
      <c r="B13" s="296"/>
      <c r="C13" s="304"/>
      <c r="D13" s="305"/>
      <c r="E13" s="309"/>
      <c r="F13" s="310" t="s">
        <v>101</v>
      </c>
      <c r="G13" s="306">
        <v>56</v>
      </c>
      <c r="H13" s="307">
        <v>82</v>
      </c>
      <c r="I13" s="18">
        <f t="shared" si="0"/>
        <v>-26</v>
      </c>
      <c r="J13" s="19">
        <f t="shared" si="1"/>
        <v>-31.707317073170728</v>
      </c>
      <c r="K13" s="11">
        <f>SUM(G13/G7*100)</f>
        <v>0.45322110715441893</v>
      </c>
      <c r="L13" s="177"/>
      <c r="M13" s="172"/>
      <c r="N13" s="62"/>
      <c r="O13" s="296"/>
      <c r="P13" s="304"/>
      <c r="Q13" s="305"/>
      <c r="R13" s="309"/>
      <c r="S13" s="310" t="s">
        <v>101</v>
      </c>
      <c r="T13" s="20">
        <v>3401</v>
      </c>
      <c r="U13" s="21">
        <v>4329</v>
      </c>
      <c r="V13" s="22">
        <f t="shared" si="2"/>
        <v>-928</v>
      </c>
      <c r="W13" s="11">
        <f t="shared" si="3"/>
        <v>-21.436821436821447</v>
      </c>
      <c r="X13" s="16">
        <f>SUM(T13/T7*100)</f>
        <v>0.3161647477700671</v>
      </c>
    </row>
    <row r="14" spans="1:24" s="3" customFormat="1" ht="25.5" customHeight="1">
      <c r="A14" s="62"/>
      <c r="B14" s="296"/>
      <c r="C14" s="297" t="s">
        <v>20</v>
      </c>
      <c r="D14" s="311"/>
      <c r="E14" s="311"/>
      <c r="F14" s="312"/>
      <c r="G14" s="300">
        <v>181</v>
      </c>
      <c r="H14" s="301">
        <v>473</v>
      </c>
      <c r="I14" s="10">
        <f t="shared" si="0"/>
        <v>-292</v>
      </c>
      <c r="J14" s="200">
        <f t="shared" si="1"/>
        <v>-61.733615221987314</v>
      </c>
      <c r="K14" s="11">
        <f>SUM(G14/G6*100)</f>
        <v>1.4510181176847845</v>
      </c>
      <c r="L14" s="177"/>
      <c r="M14" s="172"/>
      <c r="N14" s="62"/>
      <c r="O14" s="296"/>
      <c r="P14" s="297" t="s">
        <v>20</v>
      </c>
      <c r="Q14" s="311"/>
      <c r="R14" s="311"/>
      <c r="S14" s="312"/>
      <c r="T14" s="12">
        <v>34001</v>
      </c>
      <c r="U14" s="13">
        <v>87284</v>
      </c>
      <c r="V14" s="14">
        <f t="shared" si="2"/>
        <v>-53283</v>
      </c>
      <c r="W14" s="15">
        <f t="shared" si="3"/>
        <v>-61.045552449475274</v>
      </c>
      <c r="X14" s="16">
        <f>SUM(T14/T6*100)</f>
        <v>3.1129320210574503</v>
      </c>
    </row>
    <row r="15" spans="1:24" s="3" customFormat="1" ht="25.5" customHeight="1" thickBot="1">
      <c r="A15" s="220"/>
      <c r="B15" s="313"/>
      <c r="C15" s="314"/>
      <c r="D15" s="315"/>
      <c r="E15" s="315" t="s">
        <v>99</v>
      </c>
      <c r="F15" s="316"/>
      <c r="G15" s="317">
        <v>29</v>
      </c>
      <c r="H15" s="318">
        <v>38</v>
      </c>
      <c r="I15" s="26">
        <f t="shared" si="0"/>
        <v>-9</v>
      </c>
      <c r="J15" s="19">
        <f t="shared" si="1"/>
        <v>-23.68421052631578</v>
      </c>
      <c r="K15" s="27">
        <f>SUM(G15/G14*100)</f>
        <v>16.022099447513813</v>
      </c>
      <c r="L15" s="177"/>
      <c r="M15" s="172"/>
      <c r="N15" s="220"/>
      <c r="O15" s="313"/>
      <c r="P15" s="314"/>
      <c r="Q15" s="315"/>
      <c r="R15" s="315" t="s">
        <v>99</v>
      </c>
      <c r="S15" s="316"/>
      <c r="T15" s="20">
        <v>4093</v>
      </c>
      <c r="U15" s="21">
        <v>5599</v>
      </c>
      <c r="V15" s="43">
        <f t="shared" si="2"/>
        <v>-1506</v>
      </c>
      <c r="W15" s="27">
        <f t="shared" si="3"/>
        <v>-26.89766029648152</v>
      </c>
      <c r="X15" s="28">
        <f>SUM(T15/T14*100)</f>
        <v>12.037881238787094</v>
      </c>
    </row>
    <row r="16" spans="1:24" s="3" customFormat="1" ht="25.5" customHeight="1" thickTop="1">
      <c r="A16" s="370" t="s">
        <v>73</v>
      </c>
      <c r="B16" s="373" t="s">
        <v>3</v>
      </c>
      <c r="C16" s="374"/>
      <c r="D16" s="375"/>
      <c r="E16" s="376"/>
      <c r="F16" s="377"/>
      <c r="G16" s="29">
        <v>12356</v>
      </c>
      <c r="H16" s="30">
        <v>17759</v>
      </c>
      <c r="I16" s="31">
        <f t="shared" si="0"/>
        <v>-5403</v>
      </c>
      <c r="J16" s="32">
        <f t="shared" si="1"/>
        <v>-30.42401036094374</v>
      </c>
      <c r="K16" s="33">
        <f>SUM(G16/G16*100)</f>
        <v>100</v>
      </c>
      <c r="L16" s="177"/>
      <c r="M16" s="172"/>
      <c r="N16" s="370" t="s">
        <v>73</v>
      </c>
      <c r="O16" s="373" t="s">
        <v>3</v>
      </c>
      <c r="P16" s="374"/>
      <c r="Q16" s="375"/>
      <c r="R16" s="376"/>
      <c r="S16" s="377"/>
      <c r="T16" s="34">
        <v>1075705</v>
      </c>
      <c r="U16" s="35">
        <v>1377266</v>
      </c>
      <c r="V16" s="36">
        <f t="shared" si="2"/>
        <v>-301561</v>
      </c>
      <c r="W16" s="37">
        <f t="shared" si="3"/>
        <v>-21.89562510074306</v>
      </c>
      <c r="X16" s="38">
        <f>SUM(T16/T16*100)</f>
        <v>100</v>
      </c>
    </row>
    <row r="17" spans="1:24" s="3" customFormat="1" ht="15" customHeight="1">
      <c r="A17" s="371"/>
      <c r="B17" s="215"/>
      <c r="C17" s="378" t="s">
        <v>4</v>
      </c>
      <c r="D17" s="379"/>
      <c r="E17" s="379"/>
      <c r="F17" s="380"/>
      <c r="G17" s="39">
        <v>3605</v>
      </c>
      <c r="H17" s="17">
        <v>6724</v>
      </c>
      <c r="I17" s="18">
        <f t="shared" si="0"/>
        <v>-3119</v>
      </c>
      <c r="J17" s="11">
        <f t="shared" si="1"/>
        <v>-46.38607971445568</v>
      </c>
      <c r="K17" s="11">
        <f>SUM(G17/G16*100)</f>
        <v>29.176108773065717</v>
      </c>
      <c r="L17" s="177"/>
      <c r="M17" s="172"/>
      <c r="N17" s="371"/>
      <c r="O17" s="215"/>
      <c r="P17" s="378" t="s">
        <v>4</v>
      </c>
      <c r="Q17" s="379"/>
      <c r="R17" s="379"/>
      <c r="S17" s="380"/>
      <c r="T17" s="20">
        <v>384617</v>
      </c>
      <c r="U17" s="21">
        <v>602391</v>
      </c>
      <c r="V17" s="22">
        <f t="shared" si="2"/>
        <v>-217774</v>
      </c>
      <c r="W17" s="11">
        <f t="shared" si="3"/>
        <v>-36.151602530582295</v>
      </c>
      <c r="X17" s="16">
        <f>SUM(T17/T16*100)</f>
        <v>35.754877034131106</v>
      </c>
    </row>
    <row r="18" spans="1:24" s="3" customFormat="1" ht="15" customHeight="1">
      <c r="A18" s="372"/>
      <c r="B18" s="215"/>
      <c r="C18" s="225" t="s">
        <v>6</v>
      </c>
      <c r="D18" s="226"/>
      <c r="E18" s="227"/>
      <c r="F18" s="228"/>
      <c r="G18" s="41">
        <v>3136</v>
      </c>
      <c r="H18" s="40">
        <v>4534</v>
      </c>
      <c r="I18" s="18">
        <f t="shared" si="0"/>
        <v>-1398</v>
      </c>
      <c r="J18" s="11">
        <f t="shared" si="1"/>
        <v>-30.83370092633436</v>
      </c>
      <c r="K18" s="11">
        <f>SUM(G18/G16*100)</f>
        <v>25.38038200064746</v>
      </c>
      <c r="L18" s="177"/>
      <c r="M18" s="172"/>
      <c r="N18" s="372"/>
      <c r="O18" s="215"/>
      <c r="P18" s="225" t="s">
        <v>6</v>
      </c>
      <c r="Q18" s="226"/>
      <c r="R18" s="227"/>
      <c r="S18" s="228"/>
      <c r="T18" s="24">
        <v>175832</v>
      </c>
      <c r="U18" s="25">
        <v>211374</v>
      </c>
      <c r="V18" s="22">
        <f t="shared" si="2"/>
        <v>-35542</v>
      </c>
      <c r="W18" s="11">
        <f t="shared" si="3"/>
        <v>-16.814745427536025</v>
      </c>
      <c r="X18" s="16">
        <f>SUM(T18/T16*100)</f>
        <v>16.345745348399422</v>
      </c>
    </row>
    <row r="19" spans="1:24" s="3" customFormat="1" ht="15" customHeight="1">
      <c r="A19" s="62" t="s">
        <v>82</v>
      </c>
      <c r="B19" s="215"/>
      <c r="C19" s="225" t="s">
        <v>7</v>
      </c>
      <c r="D19" s="226"/>
      <c r="E19" s="227"/>
      <c r="F19" s="228"/>
      <c r="G19" s="41">
        <v>4097</v>
      </c>
      <c r="H19" s="40">
        <v>5011</v>
      </c>
      <c r="I19" s="18">
        <f t="shared" si="0"/>
        <v>-914</v>
      </c>
      <c r="J19" s="11">
        <f t="shared" si="1"/>
        <v>-18.239872280981842</v>
      </c>
      <c r="K19" s="11">
        <f>SUM(G19/G16*100)</f>
        <v>33.15797992877954</v>
      </c>
      <c r="L19" s="177"/>
      <c r="M19" s="172"/>
      <c r="N19" s="62" t="s">
        <v>82</v>
      </c>
      <c r="O19" s="215"/>
      <c r="P19" s="225" t="s">
        <v>7</v>
      </c>
      <c r="Q19" s="226"/>
      <c r="R19" s="227"/>
      <c r="S19" s="228"/>
      <c r="T19" s="24">
        <v>296243</v>
      </c>
      <c r="U19" s="25">
        <v>340538</v>
      </c>
      <c r="V19" s="22">
        <f t="shared" si="2"/>
        <v>-44295</v>
      </c>
      <c r="W19" s="11">
        <f t="shared" si="3"/>
        <v>-13.007358943788944</v>
      </c>
      <c r="X19" s="16">
        <f>SUM(T19/T16*100)</f>
        <v>27.53942763118141</v>
      </c>
    </row>
    <row r="20" spans="1:24" s="3" customFormat="1" ht="15" customHeight="1">
      <c r="A20" s="98"/>
      <c r="B20" s="215"/>
      <c r="C20" s="225" t="s">
        <v>8</v>
      </c>
      <c r="D20" s="226"/>
      <c r="E20" s="227"/>
      <c r="F20" s="228"/>
      <c r="G20" s="41">
        <v>494</v>
      </c>
      <c r="H20" s="40">
        <v>536</v>
      </c>
      <c r="I20" s="102">
        <f t="shared" si="0"/>
        <v>-42</v>
      </c>
      <c r="J20" s="11">
        <f t="shared" si="1"/>
        <v>-7.835820895522389</v>
      </c>
      <c r="K20" s="16">
        <f>SUM(G20/G16*100)</f>
        <v>3.998057623826481</v>
      </c>
      <c r="L20" s="177"/>
      <c r="M20" s="172"/>
      <c r="N20" s="98"/>
      <c r="O20" s="215"/>
      <c r="P20" s="225" t="s">
        <v>8</v>
      </c>
      <c r="Q20" s="226"/>
      <c r="R20" s="227"/>
      <c r="S20" s="228"/>
      <c r="T20" s="24">
        <v>91764</v>
      </c>
      <c r="U20" s="25">
        <v>97416</v>
      </c>
      <c r="V20" s="341">
        <f t="shared" si="2"/>
        <v>-5652</v>
      </c>
      <c r="W20" s="11">
        <f t="shared" si="3"/>
        <v>-5.801921655580188</v>
      </c>
      <c r="X20" s="16">
        <f>SUM(T20/T16*100)</f>
        <v>8.530591565531441</v>
      </c>
    </row>
    <row r="21" spans="1:24" s="3" customFormat="1" ht="15" customHeight="1">
      <c r="A21" s="98"/>
      <c r="B21" s="215"/>
      <c r="C21" s="231" t="s">
        <v>9</v>
      </c>
      <c r="D21" s="232"/>
      <c r="E21" s="233"/>
      <c r="F21" s="234"/>
      <c r="G21" s="54">
        <v>636</v>
      </c>
      <c r="H21" s="55">
        <v>673</v>
      </c>
      <c r="I21" s="26">
        <f t="shared" si="0"/>
        <v>-37</v>
      </c>
      <c r="J21" s="27">
        <f t="shared" si="1"/>
        <v>-5.497771173848449</v>
      </c>
      <c r="K21" s="27">
        <f>SUM(G21/G16*100)</f>
        <v>5.147296859825186</v>
      </c>
      <c r="L21" s="177"/>
      <c r="M21" s="172"/>
      <c r="N21" s="98"/>
      <c r="O21" s="215"/>
      <c r="P21" s="231" t="s">
        <v>9</v>
      </c>
      <c r="Q21" s="232"/>
      <c r="R21" s="233"/>
      <c r="S21" s="234"/>
      <c r="T21" s="56">
        <v>86145</v>
      </c>
      <c r="U21" s="57">
        <v>90201</v>
      </c>
      <c r="V21" s="43">
        <f t="shared" si="2"/>
        <v>-4056</v>
      </c>
      <c r="W21" s="27">
        <f t="shared" si="3"/>
        <v>-4.496624205940066</v>
      </c>
      <c r="X21" s="28">
        <f>SUM(T21/T16*100)</f>
        <v>8.008236458880456</v>
      </c>
    </row>
    <row r="22" spans="1:24" s="3" customFormat="1" ht="24.75" customHeight="1">
      <c r="A22" s="98"/>
      <c r="B22" s="215"/>
      <c r="C22" s="448" t="s">
        <v>11</v>
      </c>
      <c r="D22" s="449"/>
      <c r="E22" s="449"/>
      <c r="F22" s="450"/>
      <c r="G22" s="45">
        <f>SUM(G17:G21)</f>
        <v>11968</v>
      </c>
      <c r="H22" s="46">
        <f>SUM(H17:H21)</f>
        <v>17478</v>
      </c>
      <c r="I22" s="47">
        <f>SUM(G22-H22)</f>
        <v>-5510</v>
      </c>
      <c r="J22" s="48">
        <f>SUM(G22/H22*100)-100</f>
        <v>-31.525346149445028</v>
      </c>
      <c r="K22" s="49">
        <f>SUM(G22/G$16*100)</f>
        <v>96.85982518614439</v>
      </c>
      <c r="L22" s="177"/>
      <c r="M22" s="172"/>
      <c r="N22" s="98"/>
      <c r="O22" s="215"/>
      <c r="P22" s="448" t="s">
        <v>11</v>
      </c>
      <c r="Q22" s="449"/>
      <c r="R22" s="449"/>
      <c r="S22" s="450"/>
      <c r="T22" s="50">
        <f>SUM(T17:T21)</f>
        <v>1034601</v>
      </c>
      <c r="U22" s="51">
        <f>SUM(U17:U21)</f>
        <v>1341920</v>
      </c>
      <c r="V22" s="52">
        <f>SUM(T22-U22)</f>
        <v>-307319</v>
      </c>
      <c r="W22" s="49">
        <f>SUM(T22/U22*100)-100</f>
        <v>-22.901439728150706</v>
      </c>
      <c r="X22" s="53">
        <f>SUM(T22/T$16*100)</f>
        <v>96.17887803812384</v>
      </c>
    </row>
    <row r="23" spans="1:24" s="3" customFormat="1" ht="15" customHeight="1">
      <c r="A23" s="98"/>
      <c r="B23" s="215"/>
      <c r="C23" s="225" t="s">
        <v>10</v>
      </c>
      <c r="D23" s="226"/>
      <c r="E23" s="227"/>
      <c r="F23" s="228"/>
      <c r="G23" s="41">
        <v>235</v>
      </c>
      <c r="H23" s="40">
        <v>156</v>
      </c>
      <c r="I23" s="18">
        <f t="shared" si="0"/>
        <v>79</v>
      </c>
      <c r="J23" s="11">
        <f t="shared" si="1"/>
        <v>50.641025641025635</v>
      </c>
      <c r="K23" s="11">
        <f>SUM(G23/G16*100)</f>
        <v>1.9019100032372935</v>
      </c>
      <c r="L23" s="177"/>
      <c r="M23" s="172"/>
      <c r="N23" s="98"/>
      <c r="O23" s="215"/>
      <c r="P23" s="225" t="s">
        <v>10</v>
      </c>
      <c r="Q23" s="226"/>
      <c r="R23" s="227"/>
      <c r="S23" s="228"/>
      <c r="T23" s="58">
        <v>20122</v>
      </c>
      <c r="U23" s="59">
        <v>18346</v>
      </c>
      <c r="V23" s="22">
        <f t="shared" si="2"/>
        <v>1776</v>
      </c>
      <c r="W23" s="11">
        <f t="shared" si="3"/>
        <v>9.680584323558278</v>
      </c>
      <c r="X23" s="16">
        <f>SUM(T23/T16*100)</f>
        <v>1.8705871963038194</v>
      </c>
    </row>
    <row r="24" spans="1:24" s="3" customFormat="1" ht="15" customHeight="1">
      <c r="A24" s="98"/>
      <c r="B24" s="215"/>
      <c r="C24" s="225" t="s">
        <v>23</v>
      </c>
      <c r="D24" s="226"/>
      <c r="E24" s="227"/>
      <c r="F24" s="235"/>
      <c r="G24" s="41">
        <v>106</v>
      </c>
      <c r="H24" s="40">
        <v>98</v>
      </c>
      <c r="I24" s="18">
        <f t="shared" si="0"/>
        <v>8</v>
      </c>
      <c r="J24" s="11">
        <f t="shared" si="1"/>
        <v>8.163265306122454</v>
      </c>
      <c r="K24" s="11">
        <f>SUM(G24/G16*100)</f>
        <v>0.8578828099708644</v>
      </c>
      <c r="L24" s="177"/>
      <c r="M24" s="172"/>
      <c r="N24" s="98"/>
      <c r="O24" s="215"/>
      <c r="P24" s="225" t="s">
        <v>23</v>
      </c>
      <c r="Q24" s="226"/>
      <c r="R24" s="227"/>
      <c r="S24" s="235"/>
      <c r="T24" s="58">
        <v>13120</v>
      </c>
      <c r="U24" s="59">
        <v>10451</v>
      </c>
      <c r="V24" s="22">
        <f t="shared" si="2"/>
        <v>2669</v>
      </c>
      <c r="W24" s="11">
        <f t="shared" si="3"/>
        <v>25.538226007080667</v>
      </c>
      <c r="X24" s="16">
        <f>SUM(T24/T16*100)</f>
        <v>1.2196652427942605</v>
      </c>
    </row>
    <row r="25" spans="1:24" s="3" customFormat="1" ht="15" customHeight="1">
      <c r="A25" s="98"/>
      <c r="B25" s="215"/>
      <c r="C25" s="225" t="s">
        <v>102</v>
      </c>
      <c r="D25" s="291"/>
      <c r="E25" s="87"/>
      <c r="F25" s="319"/>
      <c r="G25" s="60">
        <v>40</v>
      </c>
      <c r="H25" s="61">
        <v>23</v>
      </c>
      <c r="I25" s="18">
        <f>SUM(G25-H25)</f>
        <v>17</v>
      </c>
      <c r="J25" s="11">
        <f>SUM(G25/H25*100)-100</f>
        <v>73.91304347826087</v>
      </c>
      <c r="K25" s="11">
        <f>SUM(G25/G17*100)</f>
        <v>1.1095700416088765</v>
      </c>
      <c r="L25" s="177"/>
      <c r="M25" s="172"/>
      <c r="N25" s="98"/>
      <c r="O25" s="215"/>
      <c r="P25" s="225" t="s">
        <v>102</v>
      </c>
      <c r="Q25" s="291"/>
      <c r="R25" s="87"/>
      <c r="S25" s="319"/>
      <c r="T25" s="62">
        <v>6536</v>
      </c>
      <c r="U25" s="63">
        <v>5618</v>
      </c>
      <c r="V25" s="22">
        <f>SUM(T25-U25)</f>
        <v>918</v>
      </c>
      <c r="W25" s="11">
        <f>SUM(T25/U25*100)-100</f>
        <v>16.340334638661446</v>
      </c>
      <c r="X25" s="16">
        <f>SUM(T25/T17*100)</f>
        <v>1.6993528627179768</v>
      </c>
    </row>
    <row r="26" spans="1:24" s="3" customFormat="1" ht="15" customHeight="1">
      <c r="A26" s="98"/>
      <c r="B26" s="215"/>
      <c r="C26" s="390" t="s">
        <v>103</v>
      </c>
      <c r="D26" s="391"/>
      <c r="E26" s="391"/>
      <c r="F26" s="392"/>
      <c r="G26" s="60">
        <v>7</v>
      </c>
      <c r="H26" s="61">
        <v>4</v>
      </c>
      <c r="I26" s="26">
        <f t="shared" si="0"/>
        <v>3</v>
      </c>
      <c r="J26" s="27">
        <f t="shared" si="1"/>
        <v>75</v>
      </c>
      <c r="K26" s="42">
        <f>SUM(G26/G16*100)</f>
        <v>0.05665263839430237</v>
      </c>
      <c r="L26" s="177"/>
      <c r="M26" s="172"/>
      <c r="N26" s="98"/>
      <c r="O26" s="215"/>
      <c r="P26" s="390" t="s">
        <v>103</v>
      </c>
      <c r="Q26" s="391"/>
      <c r="R26" s="391"/>
      <c r="S26" s="392"/>
      <c r="T26" s="62">
        <v>1326</v>
      </c>
      <c r="U26" s="63">
        <v>931</v>
      </c>
      <c r="V26" s="43">
        <f t="shared" si="2"/>
        <v>395</v>
      </c>
      <c r="W26" s="27">
        <f t="shared" si="3"/>
        <v>42.42749731471537</v>
      </c>
      <c r="X26" s="44">
        <f>SUM(T26/T16*100)</f>
        <v>0.12326799633728579</v>
      </c>
    </row>
    <row r="27" spans="1:24" s="3" customFormat="1" ht="25.5" customHeight="1" thickBot="1">
      <c r="A27" s="238"/>
      <c r="B27" s="239"/>
      <c r="C27" s="393" t="s">
        <v>11</v>
      </c>
      <c r="D27" s="394"/>
      <c r="E27" s="394"/>
      <c r="F27" s="395"/>
      <c r="G27" s="64">
        <f>SUM(G23:G26)</f>
        <v>388</v>
      </c>
      <c r="H27" s="65">
        <f>SUM(H23:H26)</f>
        <v>281</v>
      </c>
      <c r="I27" s="66">
        <f>SUM(G27-H27)</f>
        <v>107</v>
      </c>
      <c r="J27" s="67">
        <f t="shared" si="1"/>
        <v>38.078291814946624</v>
      </c>
      <c r="K27" s="6">
        <f>SUM(G27/G16*100)</f>
        <v>3.1401748138556167</v>
      </c>
      <c r="L27" s="177"/>
      <c r="M27" s="172"/>
      <c r="N27" s="238"/>
      <c r="O27" s="239"/>
      <c r="P27" s="393" t="s">
        <v>11</v>
      </c>
      <c r="Q27" s="394"/>
      <c r="R27" s="394"/>
      <c r="S27" s="395"/>
      <c r="T27" s="68">
        <f>SUM(T23:T26)</f>
        <v>41104</v>
      </c>
      <c r="U27" s="69">
        <f>SUM(U23:U26)</f>
        <v>35346</v>
      </c>
      <c r="V27" s="70">
        <f t="shared" si="2"/>
        <v>5758</v>
      </c>
      <c r="W27" s="71">
        <f t="shared" si="3"/>
        <v>16.290386465229446</v>
      </c>
      <c r="X27" s="9">
        <f>SUM(T27/T16*100)</f>
        <v>3.821121961876165</v>
      </c>
    </row>
    <row r="28" spans="1:24" s="3" customFormat="1" ht="25.5" customHeight="1" thickTop="1">
      <c r="A28" s="402" t="s">
        <v>105</v>
      </c>
      <c r="B28" s="404" t="s">
        <v>106</v>
      </c>
      <c r="C28" s="405"/>
      <c r="D28" s="405"/>
      <c r="E28" s="405"/>
      <c r="F28" s="406"/>
      <c r="G28" s="29">
        <v>11851</v>
      </c>
      <c r="H28" s="72">
        <v>17102</v>
      </c>
      <c r="I28" s="4">
        <f t="shared" si="0"/>
        <v>-5251</v>
      </c>
      <c r="J28" s="73">
        <f t="shared" si="1"/>
        <v>-30.704011226757103</v>
      </c>
      <c r="K28" s="74">
        <f>SUM(G28/G28*100)</f>
        <v>100</v>
      </c>
      <c r="L28" s="177"/>
      <c r="M28" s="172"/>
      <c r="N28" s="402" t="s">
        <v>105</v>
      </c>
      <c r="O28" s="404" t="s">
        <v>106</v>
      </c>
      <c r="P28" s="405"/>
      <c r="Q28" s="405"/>
      <c r="R28" s="405"/>
      <c r="S28" s="406"/>
      <c r="T28" s="75">
        <v>978210</v>
      </c>
      <c r="U28" s="76">
        <v>1245232</v>
      </c>
      <c r="V28" s="8">
        <f t="shared" si="2"/>
        <v>-267022</v>
      </c>
      <c r="W28" s="5">
        <f t="shared" si="3"/>
        <v>-21.443554293497115</v>
      </c>
      <c r="X28" s="77">
        <f>SUM(T28/T28*100)</f>
        <v>100</v>
      </c>
    </row>
    <row r="29" spans="1:24" s="3" customFormat="1" ht="25.5" customHeight="1">
      <c r="A29" s="403"/>
      <c r="B29" s="407"/>
      <c r="C29" s="410" t="s">
        <v>107</v>
      </c>
      <c r="D29" s="411"/>
      <c r="E29" s="411"/>
      <c r="F29" s="412"/>
      <c r="G29" s="39">
        <v>10674</v>
      </c>
      <c r="H29" s="17">
        <v>15825</v>
      </c>
      <c r="I29" s="18">
        <f t="shared" si="0"/>
        <v>-5151</v>
      </c>
      <c r="J29" s="11">
        <f t="shared" si="1"/>
        <v>-32.54976303317537</v>
      </c>
      <c r="K29" s="11">
        <f>SUM(G29/G28*100)</f>
        <v>90.06834866256013</v>
      </c>
      <c r="L29" s="177"/>
      <c r="M29" s="172"/>
      <c r="N29" s="403"/>
      <c r="O29" s="407"/>
      <c r="P29" s="410" t="s">
        <v>107</v>
      </c>
      <c r="Q29" s="411"/>
      <c r="R29" s="411"/>
      <c r="S29" s="412"/>
      <c r="T29" s="20">
        <v>542860</v>
      </c>
      <c r="U29" s="21">
        <v>714870</v>
      </c>
      <c r="V29" s="22">
        <f t="shared" si="2"/>
        <v>-172010</v>
      </c>
      <c r="W29" s="11">
        <f t="shared" si="3"/>
        <v>-24.061717515072672</v>
      </c>
      <c r="X29" s="16">
        <f>SUM(T29/T28*100)</f>
        <v>55.49524130810358</v>
      </c>
    </row>
    <row r="30" spans="1:24" s="3" customFormat="1" ht="25.5" customHeight="1">
      <c r="A30" s="240" t="s">
        <v>5</v>
      </c>
      <c r="B30" s="407"/>
      <c r="C30" s="413" t="s">
        <v>108</v>
      </c>
      <c r="D30" s="414"/>
      <c r="E30" s="414"/>
      <c r="F30" s="415"/>
      <c r="G30" s="39">
        <v>254</v>
      </c>
      <c r="H30" s="17">
        <v>311</v>
      </c>
      <c r="I30" s="18">
        <f t="shared" si="0"/>
        <v>-57</v>
      </c>
      <c r="J30" s="11">
        <f t="shared" si="1"/>
        <v>-18.32797427652733</v>
      </c>
      <c r="K30" s="11">
        <f>SUM(G30/G28*100)</f>
        <v>2.1432790481815878</v>
      </c>
      <c r="L30" s="177"/>
      <c r="M30" s="172"/>
      <c r="N30" s="240" t="s">
        <v>5</v>
      </c>
      <c r="O30" s="407"/>
      <c r="P30" s="413" t="s">
        <v>108</v>
      </c>
      <c r="Q30" s="414"/>
      <c r="R30" s="414"/>
      <c r="S30" s="415"/>
      <c r="T30" s="20">
        <v>104183</v>
      </c>
      <c r="U30" s="21">
        <v>131307</v>
      </c>
      <c r="V30" s="22">
        <f t="shared" si="2"/>
        <v>-27124</v>
      </c>
      <c r="W30" s="11">
        <f t="shared" si="3"/>
        <v>-20.656933750675904</v>
      </c>
      <c r="X30" s="16">
        <f>SUM(T30/T28*100)</f>
        <v>10.650371597100827</v>
      </c>
    </row>
    <row r="31" spans="1:24" s="3" customFormat="1" ht="25.5" customHeight="1">
      <c r="A31" s="240"/>
      <c r="B31" s="407"/>
      <c r="C31" s="413" t="s">
        <v>109</v>
      </c>
      <c r="D31" s="414"/>
      <c r="E31" s="414"/>
      <c r="F31" s="415"/>
      <c r="G31" s="41">
        <v>76</v>
      </c>
      <c r="H31" s="40">
        <v>70</v>
      </c>
      <c r="I31" s="18">
        <f t="shared" si="0"/>
        <v>6</v>
      </c>
      <c r="J31" s="11">
        <f t="shared" si="1"/>
        <v>8.57142857142857</v>
      </c>
      <c r="K31" s="11">
        <f>SUM(G31/G28*100)</f>
        <v>0.6412960931566956</v>
      </c>
      <c r="L31" s="177"/>
      <c r="M31" s="172"/>
      <c r="N31" s="240"/>
      <c r="O31" s="407"/>
      <c r="P31" s="413" t="s">
        <v>109</v>
      </c>
      <c r="Q31" s="414"/>
      <c r="R31" s="414"/>
      <c r="S31" s="415"/>
      <c r="T31" s="24">
        <v>60971</v>
      </c>
      <c r="U31" s="25">
        <v>71093</v>
      </c>
      <c r="V31" s="22">
        <f t="shared" si="2"/>
        <v>-10122</v>
      </c>
      <c r="W31" s="11">
        <f t="shared" si="3"/>
        <v>-14.237688661330921</v>
      </c>
      <c r="X31" s="16">
        <f>SUM(T31/T28*100)</f>
        <v>6.232915222702692</v>
      </c>
    </row>
    <row r="32" spans="1:24" s="3" customFormat="1" ht="25.5" customHeight="1">
      <c r="A32" s="240"/>
      <c r="B32" s="407"/>
      <c r="C32" s="416" t="s">
        <v>110</v>
      </c>
      <c r="D32" s="417"/>
      <c r="E32" s="417"/>
      <c r="F32" s="418"/>
      <c r="G32" s="39">
        <v>466</v>
      </c>
      <c r="H32" s="17">
        <v>489</v>
      </c>
      <c r="I32" s="18">
        <f t="shared" si="0"/>
        <v>-23</v>
      </c>
      <c r="J32" s="11">
        <f t="shared" si="1"/>
        <v>-4.703476482617589</v>
      </c>
      <c r="K32" s="11">
        <f>SUM(G32/G28*100)</f>
        <v>3.9321576238292124</v>
      </c>
      <c r="L32" s="177"/>
      <c r="M32" s="172"/>
      <c r="N32" s="240"/>
      <c r="O32" s="407"/>
      <c r="P32" s="416" t="s">
        <v>110</v>
      </c>
      <c r="Q32" s="417"/>
      <c r="R32" s="417"/>
      <c r="S32" s="418"/>
      <c r="T32" s="20">
        <v>128652</v>
      </c>
      <c r="U32" s="21">
        <v>152949</v>
      </c>
      <c r="V32" s="78">
        <f t="shared" si="2"/>
        <v>-24297</v>
      </c>
      <c r="W32" s="19">
        <f t="shared" si="3"/>
        <v>-15.885687385991403</v>
      </c>
      <c r="X32" s="16">
        <f>SUM(T32/T28*100)</f>
        <v>13.151777225749072</v>
      </c>
    </row>
    <row r="33" spans="1:24" s="3" customFormat="1" ht="25.5" customHeight="1">
      <c r="A33" s="240"/>
      <c r="B33" s="408"/>
      <c r="C33" s="413" t="s">
        <v>111</v>
      </c>
      <c r="D33" s="414"/>
      <c r="E33" s="414"/>
      <c r="F33" s="415"/>
      <c r="G33" s="39">
        <v>80</v>
      </c>
      <c r="H33" s="17">
        <v>104</v>
      </c>
      <c r="I33" s="18">
        <f t="shared" si="0"/>
        <v>-24</v>
      </c>
      <c r="J33" s="11">
        <f t="shared" si="1"/>
        <v>-23.076923076923066</v>
      </c>
      <c r="K33" s="11">
        <f>SUM(G33/G28*100)</f>
        <v>0.6750485191123112</v>
      </c>
      <c r="L33" s="177"/>
      <c r="M33" s="172"/>
      <c r="N33" s="240"/>
      <c r="O33" s="408"/>
      <c r="P33" s="413" t="s">
        <v>111</v>
      </c>
      <c r="Q33" s="414"/>
      <c r="R33" s="414"/>
      <c r="S33" s="415"/>
      <c r="T33" s="20">
        <v>48511</v>
      </c>
      <c r="U33" s="21">
        <v>59034</v>
      </c>
      <c r="V33" s="78">
        <f t="shared" si="2"/>
        <v>-10523</v>
      </c>
      <c r="W33" s="19">
        <f t="shared" si="3"/>
        <v>-17.825321001456786</v>
      </c>
      <c r="X33" s="16">
        <f>SUM(T33/T28*100)</f>
        <v>4.959160098547347</v>
      </c>
    </row>
    <row r="34" spans="1:24" s="3" customFormat="1" ht="25.5" customHeight="1" thickBot="1">
      <c r="A34" s="238"/>
      <c r="B34" s="409"/>
      <c r="C34" s="419" t="s">
        <v>101</v>
      </c>
      <c r="D34" s="420"/>
      <c r="E34" s="420"/>
      <c r="F34" s="421"/>
      <c r="G34" s="79">
        <v>301</v>
      </c>
      <c r="H34" s="80">
        <v>303</v>
      </c>
      <c r="I34" s="81">
        <f t="shared" si="0"/>
        <v>-2</v>
      </c>
      <c r="J34" s="82">
        <f t="shared" si="1"/>
        <v>-0.6600660066006583</v>
      </c>
      <c r="K34" s="82">
        <f>SUM(G34/G28*100)</f>
        <v>2.5398700531600706</v>
      </c>
      <c r="L34" s="177"/>
      <c r="M34" s="172"/>
      <c r="N34" s="238"/>
      <c r="O34" s="409"/>
      <c r="P34" s="419" t="s">
        <v>101</v>
      </c>
      <c r="Q34" s="420"/>
      <c r="R34" s="420"/>
      <c r="S34" s="421"/>
      <c r="T34" s="83">
        <v>93033</v>
      </c>
      <c r="U34" s="84">
        <v>115979</v>
      </c>
      <c r="V34" s="85">
        <f t="shared" si="2"/>
        <v>-22946</v>
      </c>
      <c r="W34" s="82">
        <f t="shared" si="3"/>
        <v>-19.784616180515428</v>
      </c>
      <c r="X34" s="86">
        <f>SUM(T34/T28*100)</f>
        <v>9.510534547796485</v>
      </c>
    </row>
    <row r="35" spans="1:24" s="3" customFormat="1" ht="25.5" customHeight="1" thickTop="1">
      <c r="A35" s="422" t="s">
        <v>112</v>
      </c>
      <c r="B35" s="404" t="s">
        <v>106</v>
      </c>
      <c r="C35" s="405"/>
      <c r="D35" s="405"/>
      <c r="E35" s="405"/>
      <c r="F35" s="406"/>
      <c r="G35" s="29">
        <v>11851</v>
      </c>
      <c r="H35" s="30">
        <v>17102</v>
      </c>
      <c r="I35" s="31">
        <f t="shared" si="0"/>
        <v>-5251</v>
      </c>
      <c r="J35" s="32">
        <f t="shared" si="1"/>
        <v>-30.704011226757103</v>
      </c>
      <c r="K35" s="38">
        <f>SUM(G35/G35*100)</f>
        <v>100</v>
      </c>
      <c r="L35" s="177"/>
      <c r="M35" s="172"/>
      <c r="N35" s="422" t="s">
        <v>112</v>
      </c>
      <c r="O35" s="404" t="s">
        <v>106</v>
      </c>
      <c r="P35" s="405"/>
      <c r="Q35" s="405"/>
      <c r="R35" s="405"/>
      <c r="S35" s="406"/>
      <c r="T35" s="34">
        <v>978210</v>
      </c>
      <c r="U35" s="35">
        <v>1245232</v>
      </c>
      <c r="V35" s="36">
        <f t="shared" si="2"/>
        <v>-267022</v>
      </c>
      <c r="W35" s="37">
        <f t="shared" si="3"/>
        <v>-21.443554293497115</v>
      </c>
      <c r="X35" s="38">
        <f>SUM(T35/T35*100)</f>
        <v>100</v>
      </c>
    </row>
    <row r="36" spans="1:24" s="3" customFormat="1" ht="25.5" customHeight="1">
      <c r="A36" s="423"/>
      <c r="B36" s="407"/>
      <c r="C36" s="410" t="s">
        <v>113</v>
      </c>
      <c r="D36" s="411"/>
      <c r="E36" s="411"/>
      <c r="F36" s="412"/>
      <c r="G36" s="39">
        <v>10435</v>
      </c>
      <c r="H36" s="17">
        <v>15454</v>
      </c>
      <c r="I36" s="18">
        <f t="shared" si="0"/>
        <v>-5019</v>
      </c>
      <c r="J36" s="11">
        <f t="shared" si="1"/>
        <v>-32.47702860100945</v>
      </c>
      <c r="K36" s="16">
        <f>SUM(G36/G35*100)</f>
        <v>88.0516412117121</v>
      </c>
      <c r="L36" s="177"/>
      <c r="M36" s="172"/>
      <c r="N36" s="423"/>
      <c r="O36" s="407"/>
      <c r="P36" s="410" t="s">
        <v>113</v>
      </c>
      <c r="Q36" s="411"/>
      <c r="R36" s="411"/>
      <c r="S36" s="412"/>
      <c r="T36" s="20">
        <v>628783</v>
      </c>
      <c r="U36" s="21">
        <v>824001</v>
      </c>
      <c r="V36" s="22">
        <f t="shared" si="2"/>
        <v>-195218</v>
      </c>
      <c r="W36" s="11">
        <f t="shared" si="3"/>
        <v>-23.691476102577553</v>
      </c>
      <c r="X36" s="16">
        <f>SUM(T36/T35*100)</f>
        <v>64.2789380603347</v>
      </c>
    </row>
    <row r="37" spans="1:24" s="3" customFormat="1" ht="25.5" customHeight="1">
      <c r="A37" s="240" t="s">
        <v>5</v>
      </c>
      <c r="B37" s="407"/>
      <c r="C37" s="413" t="s">
        <v>114</v>
      </c>
      <c r="D37" s="414"/>
      <c r="E37" s="414"/>
      <c r="F37" s="415"/>
      <c r="G37" s="39">
        <v>277</v>
      </c>
      <c r="H37" s="17">
        <v>325</v>
      </c>
      <c r="I37" s="18">
        <f t="shared" si="0"/>
        <v>-48</v>
      </c>
      <c r="J37" s="11">
        <f t="shared" si="1"/>
        <v>-14.769230769230774</v>
      </c>
      <c r="K37" s="16">
        <f>SUM(G37/G35*100)</f>
        <v>2.3373554974263775</v>
      </c>
      <c r="L37" s="177"/>
      <c r="M37" s="172"/>
      <c r="N37" s="240" t="s">
        <v>5</v>
      </c>
      <c r="O37" s="407"/>
      <c r="P37" s="413" t="s">
        <v>114</v>
      </c>
      <c r="Q37" s="414"/>
      <c r="R37" s="414"/>
      <c r="S37" s="415"/>
      <c r="T37" s="20">
        <v>94861</v>
      </c>
      <c r="U37" s="21">
        <v>108287</v>
      </c>
      <c r="V37" s="22">
        <f t="shared" si="2"/>
        <v>-13426</v>
      </c>
      <c r="W37" s="11">
        <f t="shared" si="3"/>
        <v>-12.398533526646787</v>
      </c>
      <c r="X37" s="16">
        <f>SUM(T37/T35*100)</f>
        <v>9.697406487359565</v>
      </c>
    </row>
    <row r="38" spans="1:24" s="3" customFormat="1" ht="25.5" customHeight="1">
      <c r="A38" s="240" t="s">
        <v>27</v>
      </c>
      <c r="B38" s="407"/>
      <c r="C38" s="413" t="s">
        <v>115</v>
      </c>
      <c r="D38" s="414"/>
      <c r="E38" s="414"/>
      <c r="F38" s="415"/>
      <c r="G38" s="41">
        <v>164</v>
      </c>
      <c r="H38" s="40">
        <v>209</v>
      </c>
      <c r="I38" s="18">
        <f t="shared" si="0"/>
        <v>-45</v>
      </c>
      <c r="J38" s="11">
        <f t="shared" si="1"/>
        <v>-21.5311004784689</v>
      </c>
      <c r="K38" s="16">
        <f>SUM(G38/G35*100)</f>
        <v>1.383849464180238</v>
      </c>
      <c r="L38" s="177"/>
      <c r="M38" s="172"/>
      <c r="N38" s="240" t="s">
        <v>27</v>
      </c>
      <c r="O38" s="407"/>
      <c r="P38" s="413" t="s">
        <v>115</v>
      </c>
      <c r="Q38" s="414"/>
      <c r="R38" s="414"/>
      <c r="S38" s="415"/>
      <c r="T38" s="24">
        <v>62175</v>
      </c>
      <c r="U38" s="25">
        <v>78642</v>
      </c>
      <c r="V38" s="22">
        <f t="shared" si="2"/>
        <v>-16467</v>
      </c>
      <c r="W38" s="11">
        <f t="shared" si="3"/>
        <v>-20.93919279774167</v>
      </c>
      <c r="X38" s="16">
        <f>SUM(T38/T35*100)</f>
        <v>6.355997178519949</v>
      </c>
    </row>
    <row r="39" spans="1:24" s="3" customFormat="1" ht="25.5" customHeight="1">
      <c r="A39" s="240"/>
      <c r="B39" s="407"/>
      <c r="C39" s="413" t="s">
        <v>116</v>
      </c>
      <c r="D39" s="414"/>
      <c r="E39" s="414"/>
      <c r="F39" s="415"/>
      <c r="G39" s="39">
        <v>193</v>
      </c>
      <c r="H39" s="17">
        <v>173</v>
      </c>
      <c r="I39" s="18">
        <f>SUM(G39-H39)</f>
        <v>20</v>
      </c>
      <c r="J39" s="11">
        <f>SUM(G39/H39*100)-100</f>
        <v>11.560693641618485</v>
      </c>
      <c r="K39" s="16">
        <f>SUM(G39/G35*100)</f>
        <v>1.6285545523584508</v>
      </c>
      <c r="L39" s="177"/>
      <c r="M39" s="172"/>
      <c r="N39" s="240"/>
      <c r="O39" s="407"/>
      <c r="P39" s="413" t="s">
        <v>116</v>
      </c>
      <c r="Q39" s="414"/>
      <c r="R39" s="414"/>
      <c r="S39" s="415"/>
      <c r="T39" s="20">
        <v>51405</v>
      </c>
      <c r="U39" s="21">
        <v>59184</v>
      </c>
      <c r="V39" s="22">
        <f>SUM(T39-U39)</f>
        <v>-7779</v>
      </c>
      <c r="W39" s="11">
        <f>SUM(T39/U39*100)-100</f>
        <v>-13.143755068937551</v>
      </c>
      <c r="X39" s="16">
        <f>SUM(T39/T35*100)</f>
        <v>5.255006593676204</v>
      </c>
    </row>
    <row r="40" spans="1:24" s="3" customFormat="1" ht="25.5" customHeight="1">
      <c r="A40" s="240"/>
      <c r="B40" s="407"/>
      <c r="C40" s="413" t="s">
        <v>117</v>
      </c>
      <c r="D40" s="414"/>
      <c r="E40" s="414"/>
      <c r="F40" s="415"/>
      <c r="G40" s="39">
        <v>131</v>
      </c>
      <c r="H40" s="17">
        <v>143</v>
      </c>
      <c r="I40" s="18">
        <f>SUM(G40-H40)</f>
        <v>-12</v>
      </c>
      <c r="J40" s="11">
        <f>SUM(G40/H40*100)-100</f>
        <v>-8.3916083916084</v>
      </c>
      <c r="K40" s="16">
        <f>SUM(G40/G35*100)</f>
        <v>1.1053919500464096</v>
      </c>
      <c r="L40" s="177"/>
      <c r="M40" s="172"/>
      <c r="N40" s="240"/>
      <c r="O40" s="407"/>
      <c r="P40" s="413" t="s">
        <v>117</v>
      </c>
      <c r="Q40" s="414"/>
      <c r="R40" s="414"/>
      <c r="S40" s="415"/>
      <c r="T40" s="20">
        <v>15610</v>
      </c>
      <c r="U40" s="21">
        <v>18494</v>
      </c>
      <c r="V40" s="22">
        <f>SUM(T40-U40)</f>
        <v>-2884</v>
      </c>
      <c r="W40" s="11">
        <f>SUM(T40/U40*100)-100</f>
        <v>-15.594246782740356</v>
      </c>
      <c r="X40" s="16">
        <f>SUM(T40/T35*100)</f>
        <v>1.5957718690260783</v>
      </c>
    </row>
    <row r="41" spans="1:24" s="3" customFormat="1" ht="25.5" customHeight="1">
      <c r="A41" s="240"/>
      <c r="B41" s="408"/>
      <c r="C41" s="413" t="s">
        <v>118</v>
      </c>
      <c r="D41" s="414"/>
      <c r="E41" s="414"/>
      <c r="F41" s="415"/>
      <c r="G41" s="39">
        <v>530</v>
      </c>
      <c r="H41" s="17">
        <v>616</v>
      </c>
      <c r="I41" s="18">
        <f>SUM(G41-H41)</f>
        <v>-86</v>
      </c>
      <c r="J41" s="11">
        <f>SUM(G41/H41*100)-100</f>
        <v>-13.961038961038966</v>
      </c>
      <c r="K41" s="16">
        <f>SUM(G41/G35*100)</f>
        <v>4.472196439119061</v>
      </c>
      <c r="L41" s="177"/>
      <c r="M41" s="172"/>
      <c r="N41" s="240"/>
      <c r="O41" s="408"/>
      <c r="P41" s="413" t="s">
        <v>118</v>
      </c>
      <c r="Q41" s="414"/>
      <c r="R41" s="414"/>
      <c r="S41" s="415"/>
      <c r="T41" s="20">
        <v>87718</v>
      </c>
      <c r="U41" s="21">
        <v>109555</v>
      </c>
      <c r="V41" s="22">
        <f>SUM(T41-U41)</f>
        <v>-21837</v>
      </c>
      <c r="W41" s="11">
        <f>SUM(T41/U41*100)-100</f>
        <v>-19.932454018529512</v>
      </c>
      <c r="X41" s="16">
        <f>SUM(T41/T35*100)</f>
        <v>8.967195183038406</v>
      </c>
    </row>
    <row r="42" spans="1:24" s="3" customFormat="1" ht="25.5" customHeight="1" thickBot="1">
      <c r="A42" s="363"/>
      <c r="B42" s="424"/>
      <c r="C42" s="425" t="s">
        <v>101</v>
      </c>
      <c r="D42" s="426"/>
      <c r="E42" s="426"/>
      <c r="F42" s="427"/>
      <c r="G42" s="367">
        <v>121</v>
      </c>
      <c r="H42" s="368">
        <v>182</v>
      </c>
      <c r="I42" s="369">
        <f>SUM(G42-H42)</f>
        <v>-61</v>
      </c>
      <c r="J42" s="191">
        <f>SUM(G42/H42*100)-100</f>
        <v>-33.51648351648352</v>
      </c>
      <c r="K42" s="187">
        <f>SUM(G42/G35*100)</f>
        <v>1.0210108851573707</v>
      </c>
      <c r="L42" s="177"/>
      <c r="M42" s="172"/>
      <c r="N42" s="363"/>
      <c r="O42" s="424"/>
      <c r="P42" s="425" t="s">
        <v>101</v>
      </c>
      <c r="Q42" s="426"/>
      <c r="R42" s="426"/>
      <c r="S42" s="427"/>
      <c r="T42" s="188">
        <v>37658</v>
      </c>
      <c r="U42" s="189">
        <v>47069</v>
      </c>
      <c r="V42" s="190">
        <f>SUM(T42-U42)</f>
        <v>-9411</v>
      </c>
      <c r="W42" s="191">
        <f>SUM(T42/U42*100)-100</f>
        <v>-19.994051286409302</v>
      </c>
      <c r="X42" s="187">
        <f>SUM(T42/T35*100)</f>
        <v>3.8496846280451025</v>
      </c>
    </row>
    <row r="43" spans="1:24" s="3" customFormat="1" ht="25.5" customHeight="1">
      <c r="A43" s="154" t="s">
        <v>126</v>
      </c>
      <c r="B43" s="245"/>
      <c r="C43" s="246"/>
      <c r="D43" s="247"/>
      <c r="E43" s="247"/>
      <c r="F43" s="247"/>
      <c r="G43" s="87"/>
      <c r="H43" s="87"/>
      <c r="I43" s="88"/>
      <c r="J43" s="89"/>
      <c r="K43" s="89"/>
      <c r="L43" s="89"/>
      <c r="M43" s="89"/>
      <c r="N43" s="154" t="s">
        <v>126</v>
      </c>
      <c r="O43" s="89"/>
      <c r="P43" s="89"/>
      <c r="Q43" s="89"/>
      <c r="R43" s="89"/>
      <c r="S43" s="89"/>
      <c r="T43" s="90"/>
      <c r="U43" s="90"/>
      <c r="V43" s="91"/>
      <c r="W43" s="89"/>
      <c r="X43" s="89"/>
    </row>
    <row r="44" spans="1:24" s="3" customFormat="1" ht="25.5" customHeight="1">
      <c r="A44" s="154" t="s">
        <v>41</v>
      </c>
      <c r="B44" s="245"/>
      <c r="C44" s="246"/>
      <c r="D44" s="247"/>
      <c r="E44" s="247"/>
      <c r="F44" s="247"/>
      <c r="G44" s="87"/>
      <c r="H44" s="87"/>
      <c r="I44" s="88"/>
      <c r="J44" s="89"/>
      <c r="K44" s="89"/>
      <c r="L44" s="89"/>
      <c r="M44" s="89"/>
      <c r="N44" s="154" t="s">
        <v>41</v>
      </c>
      <c r="O44" s="89"/>
      <c r="P44" s="89"/>
      <c r="Q44" s="89"/>
      <c r="R44" s="89"/>
      <c r="S44" s="89"/>
      <c r="T44" s="90"/>
      <c r="U44" s="90"/>
      <c r="V44" s="91"/>
      <c r="W44" s="91"/>
      <c r="X44" s="89"/>
    </row>
    <row r="45" spans="1:24" s="3" customFormat="1" ht="30" customHeight="1">
      <c r="A45" s="381" t="str">
        <f>+A1</f>
        <v>2020年農林業センサス　農林業経営体調査　主要項目一覧表　（ 富 山 県 ）</v>
      </c>
      <c r="B45" s="382"/>
      <c r="C45" s="382"/>
      <c r="D45" s="382"/>
      <c r="E45" s="382"/>
      <c r="F45" s="382"/>
      <c r="G45" s="382"/>
      <c r="H45" s="382"/>
      <c r="I45" s="382"/>
      <c r="J45" s="382"/>
      <c r="K45" s="382"/>
      <c r="L45" s="147"/>
      <c r="M45" s="147"/>
      <c r="N45" s="381" t="str">
        <f>+N1</f>
        <v>2020年農林業センサス　農林業経営体調査　主要項目一覧表　　（ 全　 国 ）</v>
      </c>
      <c r="O45" s="382"/>
      <c r="P45" s="382"/>
      <c r="Q45" s="382"/>
      <c r="R45" s="382"/>
      <c r="S45" s="382"/>
      <c r="T45" s="382"/>
      <c r="U45" s="382"/>
      <c r="V45" s="382"/>
      <c r="W45" s="382"/>
      <c r="X45" s="382"/>
    </row>
    <row r="46" spans="1:24" s="3" customFormat="1" ht="27" customHeight="1" thickBot="1">
      <c r="A46" s="196"/>
      <c r="B46" s="196"/>
      <c r="C46" s="196"/>
      <c r="D46" s="196"/>
      <c r="E46" s="196"/>
      <c r="F46" s="196"/>
      <c r="G46" s="148"/>
      <c r="H46" s="148"/>
      <c r="I46" s="148"/>
      <c r="J46" s="148"/>
      <c r="K46" s="293">
        <f>+K2</f>
        <v>44313</v>
      </c>
      <c r="L46" s="149"/>
      <c r="M46" s="148"/>
      <c r="N46" s="148"/>
      <c r="O46" s="148"/>
      <c r="P46" s="148"/>
      <c r="Q46" s="148"/>
      <c r="R46" s="148"/>
      <c r="S46" s="148"/>
      <c r="T46" s="148"/>
      <c r="U46" s="148"/>
      <c r="V46" s="150"/>
      <c r="W46" s="150"/>
      <c r="X46" s="293">
        <f>+X2</f>
        <v>44313</v>
      </c>
    </row>
    <row r="47" spans="1:24" s="3" customFormat="1" ht="22.5" customHeight="1">
      <c r="A47" s="383" t="s">
        <v>86</v>
      </c>
      <c r="B47" s="384"/>
      <c r="C47" s="384"/>
      <c r="D47" s="384"/>
      <c r="E47" s="384"/>
      <c r="F47" s="384"/>
      <c r="G47" s="387" t="s">
        <v>65</v>
      </c>
      <c r="H47" s="388"/>
      <c r="I47" s="388"/>
      <c r="J47" s="388"/>
      <c r="K47" s="388"/>
      <c r="L47" s="182"/>
      <c r="M47" s="173"/>
      <c r="N47" s="383" t="s">
        <v>86</v>
      </c>
      <c r="O47" s="384"/>
      <c r="P47" s="384"/>
      <c r="Q47" s="384"/>
      <c r="R47" s="384"/>
      <c r="S47" s="384"/>
      <c r="T47" s="387" t="s">
        <v>72</v>
      </c>
      <c r="U47" s="388"/>
      <c r="V47" s="388"/>
      <c r="W47" s="388"/>
      <c r="X47" s="389"/>
    </row>
    <row r="48" spans="1:24" s="3" customFormat="1" ht="22.5" customHeight="1">
      <c r="A48" s="385"/>
      <c r="B48" s="386"/>
      <c r="C48" s="386"/>
      <c r="D48" s="386"/>
      <c r="E48" s="386"/>
      <c r="F48" s="386"/>
      <c r="G48" s="92" t="str">
        <f>+G4</f>
        <v>令2（今回）</v>
      </c>
      <c r="H48" s="93" t="str">
        <f>+H4</f>
        <v>平27（前回）</v>
      </c>
      <c r="I48" s="94" t="s">
        <v>21</v>
      </c>
      <c r="J48" s="94" t="s">
        <v>12</v>
      </c>
      <c r="K48" s="94" t="s">
        <v>39</v>
      </c>
      <c r="L48" s="176"/>
      <c r="M48" s="174"/>
      <c r="N48" s="385"/>
      <c r="O48" s="386"/>
      <c r="P48" s="386"/>
      <c r="Q48" s="386"/>
      <c r="R48" s="386"/>
      <c r="S48" s="386"/>
      <c r="T48" s="92" t="str">
        <f>+T4</f>
        <v>令2（今回）</v>
      </c>
      <c r="U48" s="93" t="str">
        <f>+U4</f>
        <v>平27（前回）</v>
      </c>
      <c r="V48" s="94" t="s">
        <v>21</v>
      </c>
      <c r="W48" s="94" t="s">
        <v>12</v>
      </c>
      <c r="X48" s="152" t="s">
        <v>39</v>
      </c>
    </row>
    <row r="49" spans="1:24" s="3" customFormat="1" ht="24.75" customHeight="1" thickBot="1">
      <c r="A49" s="396" t="s">
        <v>80</v>
      </c>
      <c r="B49" s="397"/>
      <c r="C49" s="397"/>
      <c r="D49" s="397"/>
      <c r="E49" s="397"/>
      <c r="F49" s="398"/>
      <c r="G49" s="95" t="s">
        <v>47</v>
      </c>
      <c r="H49" s="96" t="s">
        <v>48</v>
      </c>
      <c r="I49" s="97" t="s">
        <v>49</v>
      </c>
      <c r="J49" s="97" t="s">
        <v>50</v>
      </c>
      <c r="K49" s="97" t="s">
        <v>51</v>
      </c>
      <c r="L49" s="176"/>
      <c r="M49" s="174"/>
      <c r="N49" s="396" t="s">
        <v>80</v>
      </c>
      <c r="O49" s="397"/>
      <c r="P49" s="397"/>
      <c r="Q49" s="397"/>
      <c r="R49" s="397"/>
      <c r="S49" s="398"/>
      <c r="T49" s="95" t="s">
        <v>47</v>
      </c>
      <c r="U49" s="96" t="s">
        <v>48</v>
      </c>
      <c r="V49" s="97" t="s">
        <v>49</v>
      </c>
      <c r="W49" s="97" t="s">
        <v>50</v>
      </c>
      <c r="X49" s="153" t="s">
        <v>51</v>
      </c>
    </row>
    <row r="50" spans="1:24" s="3" customFormat="1" ht="24.75" customHeight="1" thickTop="1">
      <c r="A50" s="428" t="s">
        <v>85</v>
      </c>
      <c r="B50" s="373" t="s">
        <v>130</v>
      </c>
      <c r="C50" s="374"/>
      <c r="D50" s="375"/>
      <c r="E50" s="376"/>
      <c r="F50" s="377"/>
      <c r="G50" s="29">
        <v>12356</v>
      </c>
      <c r="H50" s="344">
        <v>17759</v>
      </c>
      <c r="I50" s="4">
        <f aca="true" t="shared" si="4" ref="I50:I84">SUM(G50-H50)</f>
        <v>-5403</v>
      </c>
      <c r="J50" s="73">
        <f aca="true" t="shared" si="5" ref="J50:J73">SUM(G50/H50*100)-100</f>
        <v>-30.42401036094374</v>
      </c>
      <c r="K50" s="27">
        <f>SUM(G50/G50*100)</f>
        <v>100</v>
      </c>
      <c r="L50" s="177"/>
      <c r="M50" s="172"/>
      <c r="N50" s="428" t="s">
        <v>85</v>
      </c>
      <c r="O50" s="373" t="s">
        <v>130</v>
      </c>
      <c r="P50" s="374"/>
      <c r="Q50" s="375"/>
      <c r="R50" s="376"/>
      <c r="S50" s="377"/>
      <c r="T50" s="75">
        <v>1075705</v>
      </c>
      <c r="U50" s="76">
        <v>1377266</v>
      </c>
      <c r="V50" s="8">
        <f aca="true" t="shared" si="6" ref="V50:V84">SUM(T50-U50)</f>
        <v>-301561</v>
      </c>
      <c r="W50" s="5">
        <f aca="true" t="shared" si="7" ref="W50:W61">SUM(T50/U50*100)-100</f>
        <v>-21.89562510074306</v>
      </c>
      <c r="X50" s="28">
        <f>SUM(T50/T50*100)</f>
        <v>100</v>
      </c>
    </row>
    <row r="51" spans="1:24" s="3" customFormat="1" ht="24.75" customHeight="1">
      <c r="A51" s="429"/>
      <c r="B51" s="248"/>
      <c r="C51" s="225" t="s">
        <v>131</v>
      </c>
      <c r="D51" s="345"/>
      <c r="E51" s="346"/>
      <c r="F51" s="347"/>
      <c r="G51" s="348">
        <v>2207</v>
      </c>
      <c r="H51" s="349">
        <v>2435</v>
      </c>
      <c r="I51" s="102">
        <f>SUM(G51-H51)</f>
        <v>-228</v>
      </c>
      <c r="J51" s="157">
        <f>SUM(G51/H51*100)-100</f>
        <v>-9.36344969199179</v>
      </c>
      <c r="K51" s="16">
        <f>SUM(G51/G$50*100)</f>
        <v>17.8617675623179</v>
      </c>
      <c r="L51" s="177"/>
      <c r="M51" s="172"/>
      <c r="N51" s="429"/>
      <c r="O51" s="248"/>
      <c r="P51" s="122" t="s">
        <v>132</v>
      </c>
      <c r="Q51" s="353"/>
      <c r="R51" s="123"/>
      <c r="S51" s="124"/>
      <c r="T51" s="354">
        <v>230834</v>
      </c>
      <c r="U51" s="355">
        <v>251073</v>
      </c>
      <c r="V51" s="341">
        <f t="shared" si="6"/>
        <v>-20239</v>
      </c>
      <c r="W51" s="11">
        <f>SUM(T51/U51*100)-100</f>
        <v>-8.061002178649233</v>
      </c>
      <c r="X51" s="16">
        <f>SUM(T51/T$50*100)</f>
        <v>21.45885721457091</v>
      </c>
    </row>
    <row r="52" spans="1:24" s="3" customFormat="1" ht="24.75" customHeight="1">
      <c r="A52" s="429"/>
      <c r="B52" s="248"/>
      <c r="C52" s="350"/>
      <c r="D52" s="331" t="s">
        <v>134</v>
      </c>
      <c r="E52" s="331"/>
      <c r="F52" s="332"/>
      <c r="G52" s="333">
        <v>1929</v>
      </c>
      <c r="H52" s="334">
        <v>2207</v>
      </c>
      <c r="I52" s="26">
        <f>SUM(G52-H52)</f>
        <v>-278</v>
      </c>
      <c r="J52" s="335">
        <f>SUM(G52/H52*100)-100</f>
        <v>-12.596284549161766</v>
      </c>
      <c r="K52" s="27">
        <f>SUM(G52/G51*100)</f>
        <v>87.40371545083823</v>
      </c>
      <c r="L52" s="177"/>
      <c r="M52" s="172"/>
      <c r="N52" s="429"/>
      <c r="O52" s="248"/>
      <c r="P52" s="356"/>
      <c r="Q52" s="331" t="s">
        <v>133</v>
      </c>
      <c r="R52" s="331"/>
      <c r="S52" s="332"/>
      <c r="T52" s="338">
        <v>207600</v>
      </c>
      <c r="U52" s="339">
        <v>236655</v>
      </c>
      <c r="V52" s="43">
        <f>SUM(T52-U52)</f>
        <v>-29055</v>
      </c>
      <c r="W52" s="27">
        <f>SUM(T52/U52*100)-100</f>
        <v>-12.277365785637315</v>
      </c>
      <c r="X52" s="28">
        <f>SUM(T52/T51*100)</f>
        <v>89.93475831116733</v>
      </c>
    </row>
    <row r="53" spans="1:24" s="3" customFormat="1" ht="24.75" customHeight="1">
      <c r="A53" s="343"/>
      <c r="B53" s="248"/>
      <c r="C53" s="351"/>
      <c r="D53" s="226" t="s">
        <v>135</v>
      </c>
      <c r="E53" s="226"/>
      <c r="F53" s="249"/>
      <c r="G53" s="39">
        <v>686</v>
      </c>
      <c r="H53" s="336" t="s">
        <v>148</v>
      </c>
      <c r="I53" s="18">
        <v>686</v>
      </c>
      <c r="J53" s="337" t="s">
        <v>149</v>
      </c>
      <c r="K53" s="11">
        <f>SUM(G53/G51*100)</f>
        <v>31.0829179882193</v>
      </c>
      <c r="L53" s="177"/>
      <c r="M53" s="172"/>
      <c r="N53" s="340"/>
      <c r="O53" s="248"/>
      <c r="P53" s="351"/>
      <c r="Q53" s="226" t="s">
        <v>135</v>
      </c>
      <c r="R53" s="226"/>
      <c r="S53" s="249"/>
      <c r="T53" s="20">
        <v>56220</v>
      </c>
      <c r="U53" s="21" t="s">
        <v>148</v>
      </c>
      <c r="V53" s="22">
        <v>56220</v>
      </c>
      <c r="W53" s="337" t="s">
        <v>149</v>
      </c>
      <c r="X53" s="28">
        <f>SUM(T53/T51*100)</f>
        <v>24.35516431721497</v>
      </c>
    </row>
    <row r="54" spans="1:24" s="3" customFormat="1" ht="24.75" customHeight="1">
      <c r="A54" s="240" t="s">
        <v>5</v>
      </c>
      <c r="B54" s="215"/>
      <c r="C54" s="351"/>
      <c r="D54" s="223" t="s">
        <v>32</v>
      </c>
      <c r="E54" s="223"/>
      <c r="F54" s="224"/>
      <c r="G54" s="39">
        <v>410</v>
      </c>
      <c r="H54" s="17">
        <v>352</v>
      </c>
      <c r="I54" s="18">
        <f t="shared" si="4"/>
        <v>58</v>
      </c>
      <c r="J54" s="11">
        <f t="shared" si="5"/>
        <v>16.477272727272734</v>
      </c>
      <c r="K54" s="11">
        <f>SUM(G54/G51*100)</f>
        <v>18.57725419120979</v>
      </c>
      <c r="L54" s="177"/>
      <c r="M54" s="172"/>
      <c r="N54" s="240" t="s">
        <v>5</v>
      </c>
      <c r="O54" s="215"/>
      <c r="P54" s="351"/>
      <c r="Q54" s="223" t="s">
        <v>32</v>
      </c>
      <c r="R54" s="223"/>
      <c r="S54" s="224"/>
      <c r="T54" s="20">
        <v>29950</v>
      </c>
      <c r="U54" s="21">
        <v>25068</v>
      </c>
      <c r="V54" s="22">
        <f t="shared" si="6"/>
        <v>4882</v>
      </c>
      <c r="W54" s="11">
        <f t="shared" si="7"/>
        <v>19.475027924046586</v>
      </c>
      <c r="X54" s="28">
        <f>SUM(T54/T51*100)</f>
        <v>12.974691769843263</v>
      </c>
    </row>
    <row r="55" spans="1:24" s="3" customFormat="1" ht="24.75" customHeight="1">
      <c r="A55" s="240" t="s">
        <v>27</v>
      </c>
      <c r="B55" s="215"/>
      <c r="C55" s="351"/>
      <c r="D55" s="226" t="s">
        <v>34</v>
      </c>
      <c r="E55" s="226"/>
      <c r="F55" s="249"/>
      <c r="G55" s="39">
        <v>22</v>
      </c>
      <c r="H55" s="17">
        <v>22</v>
      </c>
      <c r="I55" s="18">
        <f t="shared" si="4"/>
        <v>0</v>
      </c>
      <c r="J55" s="11">
        <f t="shared" si="5"/>
        <v>0</v>
      </c>
      <c r="K55" s="11">
        <f>SUM(G55/G51*100)</f>
        <v>0.9968282736746714</v>
      </c>
      <c r="L55" s="177"/>
      <c r="M55" s="172"/>
      <c r="N55" s="240" t="s">
        <v>27</v>
      </c>
      <c r="O55" s="215"/>
      <c r="P55" s="351"/>
      <c r="Q55" s="226" t="s">
        <v>34</v>
      </c>
      <c r="R55" s="226"/>
      <c r="S55" s="249"/>
      <c r="T55" s="20">
        <v>5275</v>
      </c>
      <c r="U55" s="21">
        <v>6597</v>
      </c>
      <c r="V55" s="22">
        <f t="shared" si="6"/>
        <v>-1322</v>
      </c>
      <c r="W55" s="11">
        <f t="shared" si="7"/>
        <v>-20.039411853872963</v>
      </c>
      <c r="X55" s="28">
        <f>SUM(T55/T51*100)</f>
        <v>2.2851919561243146</v>
      </c>
    </row>
    <row r="56" spans="1:24" s="3" customFormat="1" ht="24.75" customHeight="1">
      <c r="A56" s="327"/>
      <c r="B56" s="215"/>
      <c r="C56" s="351"/>
      <c r="D56" s="499" t="s">
        <v>146</v>
      </c>
      <c r="E56" s="500"/>
      <c r="F56" s="501"/>
      <c r="G56" s="39">
        <v>4</v>
      </c>
      <c r="H56" s="336" t="s">
        <v>148</v>
      </c>
      <c r="I56" s="18">
        <v>4</v>
      </c>
      <c r="J56" s="337" t="s">
        <v>149</v>
      </c>
      <c r="K56" s="11">
        <f>SUM(G56/G51*100)</f>
        <v>0.18124150430448574</v>
      </c>
      <c r="L56" s="177"/>
      <c r="M56" s="172"/>
      <c r="N56" s="327"/>
      <c r="O56" s="215"/>
      <c r="P56" s="351"/>
      <c r="Q56" s="499" t="s">
        <v>146</v>
      </c>
      <c r="R56" s="500"/>
      <c r="S56" s="501"/>
      <c r="T56" s="20">
        <v>1588</v>
      </c>
      <c r="U56" s="21" t="s">
        <v>148</v>
      </c>
      <c r="V56" s="22">
        <v>1588</v>
      </c>
      <c r="W56" s="337" t="s">
        <v>149</v>
      </c>
      <c r="X56" s="28">
        <f>SUM(T56/T51*100)</f>
        <v>0.6879402514360969</v>
      </c>
    </row>
    <row r="57" spans="1:24" s="3" customFormat="1" ht="24.75" customHeight="1">
      <c r="A57" s="275"/>
      <c r="B57" s="215"/>
      <c r="C57" s="351"/>
      <c r="D57" s="223" t="s">
        <v>33</v>
      </c>
      <c r="E57" s="223"/>
      <c r="F57" s="224"/>
      <c r="G57" s="41">
        <v>7</v>
      </c>
      <c r="H57" s="40">
        <v>21</v>
      </c>
      <c r="I57" s="18">
        <f t="shared" si="4"/>
        <v>-14</v>
      </c>
      <c r="J57" s="11">
        <f t="shared" si="5"/>
        <v>-66.66666666666667</v>
      </c>
      <c r="K57" s="11">
        <f>SUM(G57/G51*100)</f>
        <v>0.31717263253285005</v>
      </c>
      <c r="L57" s="177"/>
      <c r="M57" s="172"/>
      <c r="N57" s="275"/>
      <c r="O57" s="215"/>
      <c r="P57" s="351"/>
      <c r="Q57" s="226" t="s">
        <v>33</v>
      </c>
      <c r="R57" s="227"/>
      <c r="S57" s="228"/>
      <c r="T57" s="24">
        <v>1533</v>
      </c>
      <c r="U57" s="25">
        <v>3723</v>
      </c>
      <c r="V57" s="22">
        <f t="shared" si="6"/>
        <v>-2190</v>
      </c>
      <c r="W57" s="11">
        <f t="shared" si="7"/>
        <v>-58.82352941176471</v>
      </c>
      <c r="X57" s="28">
        <f>SUM(T57/T51*100)</f>
        <v>0.6641136054480709</v>
      </c>
    </row>
    <row r="58" spans="1:24" s="3" customFormat="1" ht="24.75" customHeight="1">
      <c r="A58" s="275"/>
      <c r="B58" s="215"/>
      <c r="C58" s="351"/>
      <c r="D58" s="226" t="s">
        <v>124</v>
      </c>
      <c r="E58" s="227"/>
      <c r="F58" s="228"/>
      <c r="G58" s="39">
        <v>20</v>
      </c>
      <c r="H58" s="17">
        <v>19</v>
      </c>
      <c r="I58" s="138">
        <f t="shared" si="4"/>
        <v>1</v>
      </c>
      <c r="J58" s="19">
        <f t="shared" si="5"/>
        <v>5.263157894736835</v>
      </c>
      <c r="K58" s="11">
        <f>SUM(G58/G51*100)</f>
        <v>0.9062075215224286</v>
      </c>
      <c r="L58" s="177"/>
      <c r="M58" s="172"/>
      <c r="N58" s="275"/>
      <c r="O58" s="215"/>
      <c r="P58" s="351"/>
      <c r="Q58" s="223" t="s">
        <v>124</v>
      </c>
      <c r="R58" s="229"/>
      <c r="S58" s="230"/>
      <c r="T58" s="20">
        <v>1244</v>
      </c>
      <c r="U58" s="21">
        <v>1304</v>
      </c>
      <c r="V58" s="78">
        <f t="shared" si="6"/>
        <v>-60</v>
      </c>
      <c r="W58" s="19">
        <f t="shared" si="7"/>
        <v>-4.601226993865026</v>
      </c>
      <c r="X58" s="28">
        <f>SUM(T58/T51*100)</f>
        <v>0.538915411074625</v>
      </c>
    </row>
    <row r="59" spans="1:24" s="3" customFormat="1" ht="24.75" customHeight="1">
      <c r="A59" s="275"/>
      <c r="B59" s="215"/>
      <c r="C59" s="351"/>
      <c r="D59" s="223" t="s">
        <v>145</v>
      </c>
      <c r="E59" s="229"/>
      <c r="F59" s="230"/>
      <c r="G59" s="39">
        <v>4</v>
      </c>
      <c r="H59" s="17">
        <v>13</v>
      </c>
      <c r="I59" s="138">
        <f t="shared" si="4"/>
        <v>-9</v>
      </c>
      <c r="J59" s="19">
        <f t="shared" si="5"/>
        <v>-69.23076923076923</v>
      </c>
      <c r="K59" s="11">
        <f>SUM(G59/G51*100)</f>
        <v>0.18124150430448574</v>
      </c>
      <c r="L59" s="177"/>
      <c r="M59" s="172"/>
      <c r="N59" s="275"/>
      <c r="O59" s="215"/>
      <c r="P59" s="351"/>
      <c r="Q59" s="223" t="s">
        <v>145</v>
      </c>
      <c r="R59" s="229"/>
      <c r="S59" s="230"/>
      <c r="T59" s="20">
        <v>1215</v>
      </c>
      <c r="U59" s="21">
        <v>1750</v>
      </c>
      <c r="V59" s="78">
        <f t="shared" si="6"/>
        <v>-535</v>
      </c>
      <c r="W59" s="19">
        <f t="shared" si="7"/>
        <v>-30.57142857142857</v>
      </c>
      <c r="X59" s="28">
        <f>SUM(T59/T51*100)</f>
        <v>0.5263522704627568</v>
      </c>
    </row>
    <row r="60" spans="1:24" s="3" customFormat="1" ht="24.75" customHeight="1">
      <c r="A60" s="275"/>
      <c r="B60" s="215"/>
      <c r="C60" s="351"/>
      <c r="D60" s="223" t="s">
        <v>147</v>
      </c>
      <c r="E60" s="229"/>
      <c r="F60" s="230"/>
      <c r="G60" s="39">
        <v>5</v>
      </c>
      <c r="H60" s="17">
        <v>2</v>
      </c>
      <c r="I60" s="138">
        <f t="shared" si="4"/>
        <v>3</v>
      </c>
      <c r="J60" s="19">
        <f t="shared" si="5"/>
        <v>150</v>
      </c>
      <c r="K60" s="11">
        <f>SUM(G60/G51*100)</f>
        <v>0.22655188038060714</v>
      </c>
      <c r="L60" s="177"/>
      <c r="M60" s="172"/>
      <c r="N60" s="275"/>
      <c r="O60" s="215"/>
      <c r="P60" s="351"/>
      <c r="Q60" s="223" t="s">
        <v>147</v>
      </c>
      <c r="R60" s="229"/>
      <c r="S60" s="230"/>
      <c r="T60" s="20">
        <v>412</v>
      </c>
      <c r="U60" s="21">
        <v>576</v>
      </c>
      <c r="V60" s="78">
        <f t="shared" si="6"/>
        <v>-164</v>
      </c>
      <c r="W60" s="19">
        <f t="shared" si="7"/>
        <v>-28.472222222222214</v>
      </c>
      <c r="X60" s="28">
        <f>SUM(T60/T51*100)</f>
        <v>0.1784832390375768</v>
      </c>
    </row>
    <row r="61" spans="1:24" s="3" customFormat="1" ht="24.75" customHeight="1" thickBot="1">
      <c r="A61" s="250"/>
      <c r="B61" s="239"/>
      <c r="C61" s="352"/>
      <c r="D61" s="241" t="s">
        <v>101</v>
      </c>
      <c r="E61" s="242"/>
      <c r="F61" s="243"/>
      <c r="G61" s="79">
        <v>43</v>
      </c>
      <c r="H61" s="80">
        <v>4</v>
      </c>
      <c r="I61" s="81">
        <f t="shared" si="4"/>
        <v>39</v>
      </c>
      <c r="J61" s="82">
        <f t="shared" si="5"/>
        <v>975</v>
      </c>
      <c r="K61" s="82">
        <f>SUM(G61/G51*100)</f>
        <v>1.9483461712732213</v>
      </c>
      <c r="L61" s="177"/>
      <c r="M61" s="172"/>
      <c r="N61" s="250"/>
      <c r="O61" s="239"/>
      <c r="P61" s="352"/>
      <c r="Q61" s="241" t="s">
        <v>101</v>
      </c>
      <c r="R61" s="242"/>
      <c r="S61" s="243"/>
      <c r="T61" s="83">
        <v>7255</v>
      </c>
      <c r="U61" s="84">
        <v>1836</v>
      </c>
      <c r="V61" s="85">
        <f t="shared" si="6"/>
        <v>5419</v>
      </c>
      <c r="W61" s="82">
        <f t="shared" si="7"/>
        <v>295.1525054466231</v>
      </c>
      <c r="X61" s="86">
        <f>SUM(T61/T51*100)</f>
        <v>3.1429512116932514</v>
      </c>
    </row>
    <row r="62" spans="1:24" s="3" customFormat="1" ht="25.5" customHeight="1" thickTop="1">
      <c r="A62" s="370" t="s">
        <v>74</v>
      </c>
      <c r="B62" s="432" t="s">
        <v>3</v>
      </c>
      <c r="C62" s="433"/>
      <c r="D62" s="434"/>
      <c r="E62" s="435"/>
      <c r="F62" s="436"/>
      <c r="G62" s="98">
        <v>12356</v>
      </c>
      <c r="H62" s="199">
        <v>17759</v>
      </c>
      <c r="I62" s="4">
        <f t="shared" si="4"/>
        <v>-5403</v>
      </c>
      <c r="J62" s="5">
        <f t="shared" si="5"/>
        <v>-30.42401036094374</v>
      </c>
      <c r="K62" s="27">
        <f>SUM(G62/G62*100)</f>
        <v>100</v>
      </c>
      <c r="L62" s="177"/>
      <c r="M62" s="172"/>
      <c r="N62" s="370" t="s">
        <v>74</v>
      </c>
      <c r="O62" s="432" t="s">
        <v>3</v>
      </c>
      <c r="P62" s="433"/>
      <c r="Q62" s="434"/>
      <c r="R62" s="435"/>
      <c r="S62" s="436"/>
      <c r="T62" s="98">
        <v>1075705</v>
      </c>
      <c r="U62" s="215">
        <v>1377266</v>
      </c>
      <c r="V62" s="4">
        <f t="shared" si="6"/>
        <v>-301561</v>
      </c>
      <c r="W62" s="5">
        <f aca="true" t="shared" si="8" ref="W62:W71">SUM(T62/U62*100)-100</f>
        <v>-21.89562510074306</v>
      </c>
      <c r="X62" s="28">
        <f>SUM(T62/T62*100)</f>
        <v>100</v>
      </c>
    </row>
    <row r="63" spans="1:24" s="3" customFormat="1" ht="15" customHeight="1">
      <c r="A63" s="430"/>
      <c r="B63" s="248"/>
      <c r="C63" s="437" t="s">
        <v>90</v>
      </c>
      <c r="D63" s="438"/>
      <c r="E63" s="438"/>
      <c r="F63" s="439"/>
      <c r="G63" s="109">
        <v>141</v>
      </c>
      <c r="H63" s="40">
        <v>185</v>
      </c>
      <c r="I63" s="18">
        <f>SUM(G63-H63)</f>
        <v>-44</v>
      </c>
      <c r="J63" s="11">
        <f>SUM(G63/H63*100)-100</f>
        <v>-23.78378378378379</v>
      </c>
      <c r="K63" s="11">
        <f>SUM(G63/G62*100)</f>
        <v>1.141146001942376</v>
      </c>
      <c r="L63" s="177"/>
      <c r="M63" s="172"/>
      <c r="N63" s="430"/>
      <c r="O63" s="248"/>
      <c r="P63" s="437" t="s">
        <v>90</v>
      </c>
      <c r="Q63" s="438"/>
      <c r="R63" s="438"/>
      <c r="S63" s="439"/>
      <c r="T63" s="109">
        <v>16951</v>
      </c>
      <c r="U63" s="40">
        <v>16089</v>
      </c>
      <c r="V63" s="18">
        <f>SUM(T63-U63)</f>
        <v>862</v>
      </c>
      <c r="W63" s="11">
        <f>SUM(T63/U63*100)-100</f>
        <v>5.357697805954388</v>
      </c>
      <c r="X63" s="16">
        <f>SUM(T63/T62*100)</f>
        <v>1.5758037751985907</v>
      </c>
    </row>
    <row r="64" spans="1:24" s="3" customFormat="1" ht="15" customHeight="1">
      <c r="A64" s="431"/>
      <c r="B64" s="215"/>
      <c r="C64" s="437" t="s">
        <v>2</v>
      </c>
      <c r="D64" s="438"/>
      <c r="E64" s="438"/>
      <c r="F64" s="439"/>
      <c r="G64" s="39">
        <f>276-141</f>
        <v>135</v>
      </c>
      <c r="H64" s="17">
        <v>116</v>
      </c>
      <c r="I64" s="18">
        <f t="shared" si="4"/>
        <v>19</v>
      </c>
      <c r="J64" s="11">
        <f t="shared" si="5"/>
        <v>16.379310344827587</v>
      </c>
      <c r="K64" s="11">
        <f>SUM(G64/G62*100)</f>
        <v>1.0925865976044027</v>
      </c>
      <c r="L64" s="177"/>
      <c r="M64" s="172"/>
      <c r="N64" s="431"/>
      <c r="O64" s="215"/>
      <c r="P64" s="437" t="s">
        <v>2</v>
      </c>
      <c r="Q64" s="438"/>
      <c r="R64" s="438"/>
      <c r="S64" s="439"/>
      <c r="T64" s="39">
        <f>52883-16951</f>
        <v>35932</v>
      </c>
      <c r="U64" s="40">
        <v>32919</v>
      </c>
      <c r="V64" s="18">
        <f t="shared" si="6"/>
        <v>3013</v>
      </c>
      <c r="W64" s="11">
        <f t="shared" si="8"/>
        <v>9.152768917646341</v>
      </c>
      <c r="X64" s="16">
        <f>SUM(T64/T62*100)</f>
        <v>3.3403209987868423</v>
      </c>
    </row>
    <row r="65" spans="1:24" s="3" customFormat="1" ht="15" customHeight="1">
      <c r="A65" s="431"/>
      <c r="B65" s="215"/>
      <c r="C65" s="440">
        <v>0.3</v>
      </c>
      <c r="D65" s="441"/>
      <c r="E65" s="251" t="s">
        <v>14</v>
      </c>
      <c r="F65" s="252" t="s">
        <v>56</v>
      </c>
      <c r="G65" s="41">
        <v>4961</v>
      </c>
      <c r="H65" s="40">
        <v>7515</v>
      </c>
      <c r="I65" s="18">
        <f t="shared" si="4"/>
        <v>-2554</v>
      </c>
      <c r="J65" s="11">
        <f t="shared" si="5"/>
        <v>-33.9853626081171</v>
      </c>
      <c r="K65" s="11">
        <f>SUM(G65/G62*100)</f>
        <v>40.15053415344772</v>
      </c>
      <c r="L65" s="177"/>
      <c r="M65" s="172"/>
      <c r="N65" s="431"/>
      <c r="O65" s="215"/>
      <c r="P65" s="440">
        <v>0.3</v>
      </c>
      <c r="Q65" s="441"/>
      <c r="R65" s="251" t="s">
        <v>14</v>
      </c>
      <c r="S65" s="252" t="s">
        <v>56</v>
      </c>
      <c r="T65" s="41">
        <v>512624</v>
      </c>
      <c r="U65" s="40">
        <v>692355</v>
      </c>
      <c r="V65" s="18">
        <f t="shared" si="6"/>
        <v>-179731</v>
      </c>
      <c r="W65" s="11">
        <f t="shared" si="8"/>
        <v>-25.959370554123254</v>
      </c>
      <c r="X65" s="16">
        <f>SUM(T65/T62*100)</f>
        <v>47.654700870591846</v>
      </c>
    </row>
    <row r="66" spans="1:24" s="3" customFormat="1" ht="15" customHeight="1">
      <c r="A66" s="62" t="s">
        <v>82</v>
      </c>
      <c r="B66" s="215"/>
      <c r="C66" s="440">
        <v>1</v>
      </c>
      <c r="D66" s="442"/>
      <c r="E66" s="251" t="s">
        <v>14</v>
      </c>
      <c r="F66" s="252" t="s">
        <v>57</v>
      </c>
      <c r="G66" s="41">
        <v>3872</v>
      </c>
      <c r="H66" s="40">
        <v>6027</v>
      </c>
      <c r="I66" s="18">
        <f t="shared" si="4"/>
        <v>-2155</v>
      </c>
      <c r="J66" s="11">
        <f t="shared" si="5"/>
        <v>-35.75576572092251</v>
      </c>
      <c r="K66" s="11">
        <f>SUM(G66/G62*100)</f>
        <v>31.337002266105536</v>
      </c>
      <c r="L66" s="177"/>
      <c r="M66" s="172"/>
      <c r="N66" s="62" t="s">
        <v>82</v>
      </c>
      <c r="O66" s="215"/>
      <c r="P66" s="440">
        <v>1</v>
      </c>
      <c r="Q66" s="442"/>
      <c r="R66" s="251" t="s">
        <v>14</v>
      </c>
      <c r="S66" s="252" t="s">
        <v>57</v>
      </c>
      <c r="T66" s="41">
        <v>246562</v>
      </c>
      <c r="U66" s="40">
        <v>333369</v>
      </c>
      <c r="V66" s="18">
        <f t="shared" si="6"/>
        <v>-86807</v>
      </c>
      <c r="W66" s="11">
        <f t="shared" si="8"/>
        <v>-26.0393137934241</v>
      </c>
      <c r="X66" s="16">
        <f>SUM(T66/T62*100)</f>
        <v>22.92096810928647</v>
      </c>
    </row>
    <row r="67" spans="1:24" s="3" customFormat="1" ht="15" customHeight="1">
      <c r="A67" s="98"/>
      <c r="B67" s="215"/>
      <c r="C67" s="440">
        <v>2</v>
      </c>
      <c r="D67" s="442"/>
      <c r="E67" s="251" t="s">
        <v>14</v>
      </c>
      <c r="F67" s="252" t="s">
        <v>58</v>
      </c>
      <c r="G67" s="41">
        <v>1184</v>
      </c>
      <c r="H67" s="40">
        <v>1675</v>
      </c>
      <c r="I67" s="18">
        <f t="shared" si="4"/>
        <v>-491</v>
      </c>
      <c r="J67" s="11">
        <f t="shared" si="5"/>
        <v>-29.31343283582089</v>
      </c>
      <c r="K67" s="11">
        <f>SUM(G67/G62*100)</f>
        <v>9.582389122693428</v>
      </c>
      <c r="L67" s="177"/>
      <c r="M67" s="172"/>
      <c r="N67" s="98"/>
      <c r="O67" s="215"/>
      <c r="P67" s="440">
        <v>2</v>
      </c>
      <c r="Q67" s="442"/>
      <c r="R67" s="251" t="s">
        <v>14</v>
      </c>
      <c r="S67" s="252" t="s">
        <v>58</v>
      </c>
      <c r="T67" s="41">
        <v>91427</v>
      </c>
      <c r="U67" s="40">
        <v>115983</v>
      </c>
      <c r="V67" s="18">
        <f t="shared" si="6"/>
        <v>-24556</v>
      </c>
      <c r="W67" s="11">
        <f t="shared" si="8"/>
        <v>-21.172068320357297</v>
      </c>
      <c r="X67" s="16">
        <f>SUM(T67/T62*100)</f>
        <v>8.49926327385296</v>
      </c>
    </row>
    <row r="68" spans="1:24" s="3" customFormat="1" ht="15" customHeight="1">
      <c r="A68" s="98"/>
      <c r="B68" s="215"/>
      <c r="C68" s="440">
        <v>3</v>
      </c>
      <c r="D68" s="442"/>
      <c r="E68" s="251" t="s">
        <v>14</v>
      </c>
      <c r="F68" s="252" t="s">
        <v>59</v>
      </c>
      <c r="G68" s="41">
        <v>607</v>
      </c>
      <c r="H68" s="40">
        <v>763</v>
      </c>
      <c r="I68" s="102">
        <f t="shared" si="4"/>
        <v>-156</v>
      </c>
      <c r="J68" s="11">
        <f t="shared" si="5"/>
        <v>-20.44560943643512</v>
      </c>
      <c r="K68" s="16">
        <f>SUM(G68/G62*100)</f>
        <v>4.9125930721916475</v>
      </c>
      <c r="L68" s="177"/>
      <c r="M68" s="172"/>
      <c r="N68" s="98"/>
      <c r="O68" s="215"/>
      <c r="P68" s="440">
        <v>3</v>
      </c>
      <c r="Q68" s="442"/>
      <c r="R68" s="251" t="s">
        <v>14</v>
      </c>
      <c r="S68" s="252" t="s">
        <v>59</v>
      </c>
      <c r="T68" s="41">
        <v>68593</v>
      </c>
      <c r="U68" s="40">
        <v>81538</v>
      </c>
      <c r="V68" s="102">
        <f t="shared" si="6"/>
        <v>-12945</v>
      </c>
      <c r="W68" s="11">
        <f t="shared" si="8"/>
        <v>-15.87603326056562</v>
      </c>
      <c r="X68" s="16">
        <f>SUM(T68/T62*100)</f>
        <v>6.376562347483743</v>
      </c>
    </row>
    <row r="69" spans="1:24" s="3" customFormat="1" ht="15" customHeight="1">
      <c r="A69" s="98"/>
      <c r="B69" s="215"/>
      <c r="C69" s="443">
        <v>5</v>
      </c>
      <c r="D69" s="444"/>
      <c r="E69" s="253" t="s">
        <v>14</v>
      </c>
      <c r="F69" s="254" t="s">
        <v>15</v>
      </c>
      <c r="G69" s="54">
        <v>419</v>
      </c>
      <c r="H69" s="55">
        <v>526</v>
      </c>
      <c r="I69" s="26">
        <f t="shared" si="4"/>
        <v>-107</v>
      </c>
      <c r="J69" s="27">
        <f t="shared" si="5"/>
        <v>-20.342205323193923</v>
      </c>
      <c r="K69" s="27">
        <f>SUM(G69/G62*100)</f>
        <v>3.3910650696018125</v>
      </c>
      <c r="L69" s="177"/>
      <c r="M69" s="172"/>
      <c r="N69" s="98"/>
      <c r="O69" s="215"/>
      <c r="P69" s="443">
        <v>5</v>
      </c>
      <c r="Q69" s="444"/>
      <c r="R69" s="253" t="s">
        <v>14</v>
      </c>
      <c r="S69" s="254" t="s">
        <v>15</v>
      </c>
      <c r="T69" s="54">
        <v>48454</v>
      </c>
      <c r="U69" s="55">
        <v>52229</v>
      </c>
      <c r="V69" s="26">
        <f t="shared" si="6"/>
        <v>-3775</v>
      </c>
      <c r="W69" s="27">
        <f t="shared" si="8"/>
        <v>-7.227785329989089</v>
      </c>
      <c r="X69" s="28">
        <f>SUM(T69/T62*100)</f>
        <v>4.504394792252523</v>
      </c>
    </row>
    <row r="70" spans="1:24" s="3" customFormat="1" ht="24.75" customHeight="1">
      <c r="A70" s="98"/>
      <c r="B70" s="215"/>
      <c r="C70" s="448" t="s">
        <v>11</v>
      </c>
      <c r="D70" s="449"/>
      <c r="E70" s="449"/>
      <c r="F70" s="450"/>
      <c r="G70" s="287">
        <f>SUM(G63:G69)</f>
        <v>11319</v>
      </c>
      <c r="H70" s="99">
        <f>SUM(H63:H69)</f>
        <v>16807</v>
      </c>
      <c r="I70" s="47">
        <f>SUM(G70-H70)</f>
        <v>-5488</v>
      </c>
      <c r="J70" s="49">
        <f>SUM(G70/H70*100)-100</f>
        <v>-32.653061224489804</v>
      </c>
      <c r="K70" s="49">
        <f>SUM(G70/G62*100)</f>
        <v>91.60731628358693</v>
      </c>
      <c r="L70" s="177"/>
      <c r="M70" s="172"/>
      <c r="N70" s="98"/>
      <c r="O70" s="215"/>
      <c r="P70" s="448" t="s">
        <v>11</v>
      </c>
      <c r="Q70" s="449"/>
      <c r="R70" s="449"/>
      <c r="S70" s="450"/>
      <c r="T70" s="287">
        <f>SUM(T63:T69)</f>
        <v>1020543</v>
      </c>
      <c r="U70" s="99">
        <f>SUM(U63:U69)</f>
        <v>1324482</v>
      </c>
      <c r="V70" s="47">
        <f>SUM(T70-U70)</f>
        <v>-303939</v>
      </c>
      <c r="W70" s="49">
        <f>SUM(T70/U70*100)-100</f>
        <v>-22.947763729518414</v>
      </c>
      <c r="X70" s="53">
        <f>SUM(T70/T62*100)</f>
        <v>94.87201416745297</v>
      </c>
    </row>
    <row r="71" spans="1:24" s="3" customFormat="1" ht="15" customHeight="1">
      <c r="A71" s="98"/>
      <c r="B71" s="215"/>
      <c r="C71" s="219" t="s">
        <v>15</v>
      </c>
      <c r="D71" s="251"/>
      <c r="E71" s="251" t="s">
        <v>14</v>
      </c>
      <c r="F71" s="252" t="s">
        <v>16</v>
      </c>
      <c r="G71" s="41">
        <v>612</v>
      </c>
      <c r="H71" s="40">
        <v>624</v>
      </c>
      <c r="I71" s="102">
        <f t="shared" si="4"/>
        <v>-12</v>
      </c>
      <c r="J71" s="11">
        <f t="shared" si="5"/>
        <v>-1.923076923076934</v>
      </c>
      <c r="K71" s="11">
        <f>SUM(G71/G62*100)</f>
        <v>4.953059242473292</v>
      </c>
      <c r="L71" s="177"/>
      <c r="M71" s="172"/>
      <c r="N71" s="98"/>
      <c r="O71" s="215"/>
      <c r="P71" s="219" t="s">
        <v>15</v>
      </c>
      <c r="Q71" s="251"/>
      <c r="R71" s="251" t="s">
        <v>14</v>
      </c>
      <c r="S71" s="252" t="s">
        <v>16</v>
      </c>
      <c r="T71" s="41">
        <v>36636</v>
      </c>
      <c r="U71" s="40">
        <v>35688</v>
      </c>
      <c r="V71" s="102">
        <f t="shared" si="6"/>
        <v>948</v>
      </c>
      <c r="W71" s="11">
        <f t="shared" si="8"/>
        <v>2.6563550773369258</v>
      </c>
      <c r="X71" s="16">
        <f>SUM(T71/T62*100)</f>
        <v>3.405766450839217</v>
      </c>
    </row>
    <row r="72" spans="1:24" s="3" customFormat="1" ht="15" customHeight="1">
      <c r="A72" s="98"/>
      <c r="B72" s="215"/>
      <c r="C72" s="218" t="s">
        <v>13</v>
      </c>
      <c r="D72" s="245"/>
      <c r="E72" s="245"/>
      <c r="F72" s="255"/>
      <c r="G72" s="103">
        <v>425</v>
      </c>
      <c r="H72" s="104">
        <v>328</v>
      </c>
      <c r="I72" s="26">
        <f t="shared" si="4"/>
        <v>97</v>
      </c>
      <c r="J72" s="42">
        <f>SUM(G72/H72*100)-100</f>
        <v>29.573170731707307</v>
      </c>
      <c r="K72" s="42">
        <f>SUM(G72/G62*100)</f>
        <v>3.4396244739397863</v>
      </c>
      <c r="L72" s="177"/>
      <c r="M72" s="172"/>
      <c r="N72" s="98"/>
      <c r="O72" s="215"/>
      <c r="P72" s="218" t="s">
        <v>13</v>
      </c>
      <c r="Q72" s="245"/>
      <c r="R72" s="245"/>
      <c r="S72" s="255"/>
      <c r="T72" s="103">
        <v>18526</v>
      </c>
      <c r="U72" s="104">
        <v>17096</v>
      </c>
      <c r="V72" s="26">
        <f t="shared" si="6"/>
        <v>1430</v>
      </c>
      <c r="W72" s="42">
        <f aca="true" t="shared" si="9" ref="W72:W77">SUM(T72/U72*100)-100</f>
        <v>8.3645297145531</v>
      </c>
      <c r="X72" s="44">
        <f>SUM(T72/T62*100)</f>
        <v>1.7222193817078104</v>
      </c>
    </row>
    <row r="73" spans="1:24" s="3" customFormat="1" ht="24.75" customHeight="1" thickBot="1">
      <c r="A73" s="98"/>
      <c r="B73" s="215"/>
      <c r="C73" s="445" t="s">
        <v>11</v>
      </c>
      <c r="D73" s="446"/>
      <c r="E73" s="446"/>
      <c r="F73" s="447"/>
      <c r="G73" s="60">
        <f>SUM(G71:G72)</f>
        <v>1037</v>
      </c>
      <c r="H73" s="61">
        <f>SUM(H71:H72)</f>
        <v>952</v>
      </c>
      <c r="I73" s="185">
        <f t="shared" si="4"/>
        <v>85</v>
      </c>
      <c r="J73" s="27">
        <f t="shared" si="5"/>
        <v>8.928571428571416</v>
      </c>
      <c r="K73" s="6">
        <f>SUM(G73/G62*100)</f>
        <v>8.392683716413078</v>
      </c>
      <c r="L73" s="177"/>
      <c r="M73" s="172"/>
      <c r="N73" s="98"/>
      <c r="O73" s="215"/>
      <c r="P73" s="445" t="s">
        <v>11</v>
      </c>
      <c r="Q73" s="446"/>
      <c r="R73" s="446"/>
      <c r="S73" s="447"/>
      <c r="T73" s="60">
        <f>SUM(T71:T72)</f>
        <v>55162</v>
      </c>
      <c r="U73" s="61">
        <f>SUM(U71:U72)</f>
        <v>52784</v>
      </c>
      <c r="V73" s="185">
        <f t="shared" si="6"/>
        <v>2378</v>
      </c>
      <c r="W73" s="27">
        <f t="shared" si="9"/>
        <v>4.505153076689908</v>
      </c>
      <c r="X73" s="9">
        <f>SUM(T73/T62*100)</f>
        <v>5.127985832547028</v>
      </c>
    </row>
    <row r="74" spans="1:24" s="3" customFormat="1" ht="25.5" customHeight="1" thickTop="1">
      <c r="A74" s="320" t="s">
        <v>119</v>
      </c>
      <c r="B74" s="451" t="s">
        <v>3</v>
      </c>
      <c r="C74" s="452"/>
      <c r="D74" s="453"/>
      <c r="E74" s="453"/>
      <c r="F74" s="454"/>
      <c r="G74" s="329">
        <v>11331</v>
      </c>
      <c r="H74" s="110">
        <v>16778</v>
      </c>
      <c r="I74" s="330">
        <f t="shared" si="4"/>
        <v>-5447</v>
      </c>
      <c r="J74" s="74">
        <f>SUM(G74/H74*100)-100</f>
        <v>-32.465132912146856</v>
      </c>
      <c r="K74" s="77">
        <f>SUM(G74/G74*100)</f>
        <v>100</v>
      </c>
      <c r="L74" s="177"/>
      <c r="M74" s="172"/>
      <c r="N74" s="320" t="s">
        <v>119</v>
      </c>
      <c r="O74" s="451" t="s">
        <v>3</v>
      </c>
      <c r="P74" s="452"/>
      <c r="Q74" s="453"/>
      <c r="R74" s="453"/>
      <c r="S74" s="454"/>
      <c r="T74" s="329">
        <v>1037342</v>
      </c>
      <c r="U74" s="110">
        <v>1339964</v>
      </c>
      <c r="V74" s="330">
        <f t="shared" si="6"/>
        <v>-302622</v>
      </c>
      <c r="W74" s="74">
        <f t="shared" si="9"/>
        <v>-22.58433808669487</v>
      </c>
      <c r="X74" s="77">
        <f>SUM(T74/T74*100)</f>
        <v>100</v>
      </c>
    </row>
    <row r="75" spans="1:24" s="3" customFormat="1" ht="25.5" customHeight="1">
      <c r="A75" s="322" t="s">
        <v>120</v>
      </c>
      <c r="B75" s="455"/>
      <c r="C75" s="458" t="s">
        <v>121</v>
      </c>
      <c r="D75" s="459"/>
      <c r="E75" s="459"/>
      <c r="F75" s="460"/>
      <c r="G75" s="328">
        <v>905</v>
      </c>
      <c r="H75" s="61">
        <v>1195</v>
      </c>
      <c r="I75" s="105">
        <f t="shared" si="4"/>
        <v>-290</v>
      </c>
      <c r="J75" s="27">
        <f>SUM(G75/H75*100)-100</f>
        <v>-24.26778242677824</v>
      </c>
      <c r="K75" s="28">
        <f>SUM(G75/G74*100)</f>
        <v>7.986938487335628</v>
      </c>
      <c r="L75" s="177"/>
      <c r="M75" s="172"/>
      <c r="N75" s="322" t="s">
        <v>120</v>
      </c>
      <c r="O75" s="455"/>
      <c r="P75" s="458" t="s">
        <v>121</v>
      </c>
      <c r="Q75" s="459"/>
      <c r="R75" s="459"/>
      <c r="S75" s="460"/>
      <c r="T75" s="328">
        <v>230855</v>
      </c>
      <c r="U75" s="61">
        <v>291531</v>
      </c>
      <c r="V75" s="105">
        <f t="shared" si="6"/>
        <v>-60676</v>
      </c>
      <c r="W75" s="27">
        <f t="shared" si="9"/>
        <v>-20.812880962916466</v>
      </c>
      <c r="X75" s="28">
        <f>SUM(T75/T74*100)</f>
        <v>22.254473452342623</v>
      </c>
    </row>
    <row r="76" spans="1:24" s="3" customFormat="1" ht="25.5" customHeight="1">
      <c r="A76" s="321" t="s">
        <v>5</v>
      </c>
      <c r="B76" s="456"/>
      <c r="C76" s="458" t="s">
        <v>122</v>
      </c>
      <c r="D76" s="459"/>
      <c r="E76" s="459"/>
      <c r="F76" s="460"/>
      <c r="G76" s="109">
        <v>1729</v>
      </c>
      <c r="H76" s="40">
        <v>3498</v>
      </c>
      <c r="I76" s="106">
        <f t="shared" si="4"/>
        <v>-1769</v>
      </c>
      <c r="J76" s="11">
        <f>SUM(G76/H76*100)-100</f>
        <v>-50.57175528873642</v>
      </c>
      <c r="K76" s="16">
        <f>SUM(G76/G74*100)</f>
        <v>15.25902391668873</v>
      </c>
      <c r="L76" s="177"/>
      <c r="M76" s="172"/>
      <c r="N76" s="321" t="s">
        <v>5</v>
      </c>
      <c r="O76" s="456"/>
      <c r="P76" s="458" t="s">
        <v>122</v>
      </c>
      <c r="Q76" s="459"/>
      <c r="R76" s="459"/>
      <c r="S76" s="460"/>
      <c r="T76" s="109">
        <v>142538</v>
      </c>
      <c r="U76" s="40">
        <v>258823</v>
      </c>
      <c r="V76" s="106">
        <f t="shared" si="6"/>
        <v>-116285</v>
      </c>
      <c r="W76" s="11">
        <f t="shared" si="9"/>
        <v>-44.92838735351958</v>
      </c>
      <c r="X76" s="16">
        <f>SUM(T76/T74*100)</f>
        <v>13.740694968486766</v>
      </c>
    </row>
    <row r="77" spans="1:24" s="3" customFormat="1" ht="25.5" customHeight="1" thickBot="1">
      <c r="A77" s="98"/>
      <c r="B77" s="457"/>
      <c r="C77" s="461" t="s">
        <v>123</v>
      </c>
      <c r="D77" s="462"/>
      <c r="E77" s="462"/>
      <c r="F77" s="463"/>
      <c r="G77" s="198">
        <v>8697</v>
      </c>
      <c r="H77" s="104">
        <v>12085</v>
      </c>
      <c r="I77" s="107">
        <f t="shared" si="4"/>
        <v>-3388</v>
      </c>
      <c r="J77" s="42">
        <f>SUM(G77/H77*100)-100</f>
        <v>-28.03475382705834</v>
      </c>
      <c r="K77" s="44">
        <f>SUM(G77/G74*100)</f>
        <v>76.75403759597565</v>
      </c>
      <c r="L77" s="177"/>
      <c r="M77" s="172"/>
      <c r="N77" s="98"/>
      <c r="O77" s="457"/>
      <c r="P77" s="461" t="s">
        <v>123</v>
      </c>
      <c r="Q77" s="462"/>
      <c r="R77" s="462"/>
      <c r="S77" s="463"/>
      <c r="T77" s="198">
        <v>663949</v>
      </c>
      <c r="U77" s="104">
        <v>789610</v>
      </c>
      <c r="V77" s="107">
        <f t="shared" si="6"/>
        <v>-125661</v>
      </c>
      <c r="W77" s="42">
        <f t="shared" si="9"/>
        <v>-15.914312128772437</v>
      </c>
      <c r="X77" s="86">
        <f>SUM(T77/T74*100)</f>
        <v>64.00483157917061</v>
      </c>
    </row>
    <row r="78" spans="1:24" s="3" customFormat="1" ht="25.5" customHeight="1" thickTop="1">
      <c r="A78" s="256" t="s">
        <v>36</v>
      </c>
      <c r="B78" s="464" t="s">
        <v>88</v>
      </c>
      <c r="C78" s="465"/>
      <c r="D78" s="465"/>
      <c r="E78" s="465"/>
      <c r="F78" s="466"/>
      <c r="G78" s="201">
        <v>17314</v>
      </c>
      <c r="H78" s="110">
        <v>23798</v>
      </c>
      <c r="I78" s="111">
        <f t="shared" si="4"/>
        <v>-6484</v>
      </c>
      <c r="J78" s="112">
        <f aca="true" t="shared" si="10" ref="J78:J84">SUM(G78/H78*100)-100</f>
        <v>-27.245987057735945</v>
      </c>
      <c r="K78" s="6">
        <f>SUM(G78/G78*100)</f>
        <v>100</v>
      </c>
      <c r="L78" s="177"/>
      <c r="M78" s="172"/>
      <c r="N78" s="256" t="s">
        <v>36</v>
      </c>
      <c r="O78" s="464" t="s">
        <v>88</v>
      </c>
      <c r="P78" s="465"/>
      <c r="Q78" s="465"/>
      <c r="R78" s="465"/>
      <c r="S78" s="466"/>
      <c r="T78" s="201">
        <v>1747079</v>
      </c>
      <c r="U78" s="110">
        <v>2155082</v>
      </c>
      <c r="V78" s="111">
        <f t="shared" si="6"/>
        <v>-408003</v>
      </c>
      <c r="W78" s="112">
        <f aca="true" t="shared" si="11" ref="W78:W84">SUM(T78/U78*100)-100</f>
        <v>-18.932133440862103</v>
      </c>
      <c r="X78" s="28">
        <f>SUM(T78/T78*100)</f>
        <v>100</v>
      </c>
    </row>
    <row r="79" spans="1:24" s="3" customFormat="1" ht="25.5" customHeight="1">
      <c r="A79" s="62" t="s">
        <v>83</v>
      </c>
      <c r="B79" s="221"/>
      <c r="C79" s="261" t="s">
        <v>60</v>
      </c>
      <c r="D79" s="251"/>
      <c r="E79" s="258"/>
      <c r="F79" s="259"/>
      <c r="G79" s="54">
        <v>11323</v>
      </c>
      <c r="H79" s="55">
        <v>16744</v>
      </c>
      <c r="I79" s="18">
        <f t="shared" si="4"/>
        <v>-5421</v>
      </c>
      <c r="J79" s="11">
        <f t="shared" si="10"/>
        <v>-32.37577639751554</v>
      </c>
      <c r="K79" s="11">
        <f>SUM(G79/G78*100)</f>
        <v>65.39794386045973</v>
      </c>
      <c r="L79" s="177"/>
      <c r="M79" s="172"/>
      <c r="N79" s="62" t="s">
        <v>83</v>
      </c>
      <c r="O79" s="221"/>
      <c r="P79" s="261" t="s">
        <v>60</v>
      </c>
      <c r="Q79" s="251"/>
      <c r="R79" s="258"/>
      <c r="S79" s="259"/>
      <c r="T79" s="54">
        <v>1027892</v>
      </c>
      <c r="U79" s="55">
        <v>1329591</v>
      </c>
      <c r="V79" s="18">
        <f t="shared" si="6"/>
        <v>-301699</v>
      </c>
      <c r="W79" s="11">
        <f t="shared" si="11"/>
        <v>-22.69111328220484</v>
      </c>
      <c r="X79" s="16">
        <f>SUM(T79/T78*100)</f>
        <v>58.83488954992877</v>
      </c>
    </row>
    <row r="80" spans="1:24" s="3" customFormat="1" ht="25.5" customHeight="1">
      <c r="A80" s="98"/>
      <c r="B80" s="221"/>
      <c r="C80" s="262" t="s">
        <v>61</v>
      </c>
      <c r="D80" s="251"/>
      <c r="E80" s="263"/>
      <c r="F80" s="264"/>
      <c r="G80" s="54">
        <v>5991</v>
      </c>
      <c r="H80" s="55">
        <v>7054</v>
      </c>
      <c r="I80" s="18">
        <f t="shared" si="4"/>
        <v>-1063</v>
      </c>
      <c r="J80" s="11">
        <f t="shared" si="10"/>
        <v>-15.06946413382478</v>
      </c>
      <c r="K80" s="11">
        <f>SUM(G80/G78*100)</f>
        <v>34.60205613954025</v>
      </c>
      <c r="L80" s="177"/>
      <c r="M80" s="172"/>
      <c r="N80" s="98"/>
      <c r="O80" s="221"/>
      <c r="P80" s="262" t="s">
        <v>61</v>
      </c>
      <c r="Q80" s="251"/>
      <c r="R80" s="263"/>
      <c r="S80" s="264"/>
      <c r="T80" s="54">
        <v>719187</v>
      </c>
      <c r="U80" s="55">
        <v>825491</v>
      </c>
      <c r="V80" s="18">
        <f t="shared" si="6"/>
        <v>-106304</v>
      </c>
      <c r="W80" s="11">
        <f t="shared" si="11"/>
        <v>-12.877669169015775</v>
      </c>
      <c r="X80" s="16">
        <f>SUM(T80/T78*100)</f>
        <v>41.16511045007123</v>
      </c>
    </row>
    <row r="81" spans="1:24" s="3" customFormat="1" ht="25.5" customHeight="1" thickBot="1">
      <c r="A81" s="238"/>
      <c r="B81" s="265" t="s">
        <v>62</v>
      </c>
      <c r="C81" s="266"/>
      <c r="D81" s="267"/>
      <c r="E81" s="268"/>
      <c r="F81" s="269"/>
      <c r="G81" s="202">
        <v>38447</v>
      </c>
      <c r="H81" s="80">
        <v>34963</v>
      </c>
      <c r="I81" s="81">
        <f t="shared" si="4"/>
        <v>3484</v>
      </c>
      <c r="J81" s="82">
        <f t="shared" si="10"/>
        <v>9.964819952521225</v>
      </c>
      <c r="K81" s="114" t="s">
        <v>87</v>
      </c>
      <c r="L81" s="62"/>
      <c r="M81" s="178"/>
      <c r="N81" s="238"/>
      <c r="O81" s="265" t="s">
        <v>62</v>
      </c>
      <c r="P81" s="266"/>
      <c r="Q81" s="267"/>
      <c r="R81" s="268"/>
      <c r="S81" s="269"/>
      <c r="T81" s="202">
        <v>1502351</v>
      </c>
      <c r="U81" s="80">
        <v>1413727</v>
      </c>
      <c r="V81" s="81">
        <f t="shared" si="6"/>
        <v>88624</v>
      </c>
      <c r="W81" s="82">
        <f t="shared" si="11"/>
        <v>6.268819934824748</v>
      </c>
      <c r="X81" s="192" t="s">
        <v>87</v>
      </c>
    </row>
    <row r="82" spans="1:24" s="3" customFormat="1" ht="25.5" customHeight="1" thickTop="1">
      <c r="A82" s="467" t="s">
        <v>76</v>
      </c>
      <c r="B82" s="373" t="s">
        <v>3</v>
      </c>
      <c r="C82" s="374"/>
      <c r="D82" s="375"/>
      <c r="E82" s="376"/>
      <c r="F82" s="377"/>
      <c r="G82" s="115">
        <v>12494</v>
      </c>
      <c r="H82" s="186">
        <v>16183</v>
      </c>
      <c r="I82" s="116">
        <f t="shared" si="4"/>
        <v>-3689</v>
      </c>
      <c r="J82" s="37">
        <f t="shared" si="10"/>
        <v>-22.795526169437068</v>
      </c>
      <c r="K82" s="6">
        <f>SUM(G82/G82*100)</f>
        <v>100</v>
      </c>
      <c r="L82" s="177"/>
      <c r="M82" s="172"/>
      <c r="N82" s="467" t="s">
        <v>76</v>
      </c>
      <c r="O82" s="373" t="s">
        <v>3</v>
      </c>
      <c r="P82" s="374"/>
      <c r="Q82" s="375"/>
      <c r="R82" s="376"/>
      <c r="S82" s="377"/>
      <c r="T82" s="115">
        <v>1104330</v>
      </c>
      <c r="U82" s="186">
        <v>1676606</v>
      </c>
      <c r="V82" s="116">
        <f t="shared" si="6"/>
        <v>-572276</v>
      </c>
      <c r="W82" s="37">
        <f t="shared" si="11"/>
        <v>-34.133004414871465</v>
      </c>
      <c r="X82" s="9">
        <f>SUM(T82/T82*100)</f>
        <v>100</v>
      </c>
    </row>
    <row r="83" spans="1:24" s="3" customFormat="1" ht="25.5" customHeight="1">
      <c r="A83" s="468"/>
      <c r="B83" s="215"/>
      <c r="C83" s="122" t="s">
        <v>25</v>
      </c>
      <c r="D83" s="123"/>
      <c r="E83" s="123"/>
      <c r="F83" s="124"/>
      <c r="G83" s="203">
        <v>1206</v>
      </c>
      <c r="H83" s="204">
        <v>1824</v>
      </c>
      <c r="I83" s="10">
        <f t="shared" si="4"/>
        <v>-618</v>
      </c>
      <c r="J83" s="15">
        <f t="shared" si="10"/>
        <v>-33.881578947368425</v>
      </c>
      <c r="K83" s="11">
        <f>SUM(G83/G82*100)</f>
        <v>9.652633263966703</v>
      </c>
      <c r="L83" s="177"/>
      <c r="M83" s="172"/>
      <c r="N83" s="468"/>
      <c r="O83" s="215"/>
      <c r="P83" s="122" t="s">
        <v>25</v>
      </c>
      <c r="Q83" s="123"/>
      <c r="R83" s="123"/>
      <c r="S83" s="124"/>
      <c r="T83" s="203">
        <v>156777</v>
      </c>
      <c r="U83" s="204">
        <v>220152</v>
      </c>
      <c r="V83" s="10">
        <f t="shared" si="6"/>
        <v>-63375</v>
      </c>
      <c r="W83" s="15">
        <f t="shared" si="11"/>
        <v>-28.78692903085141</v>
      </c>
      <c r="X83" s="16">
        <f>SUM(T83/T82*100)</f>
        <v>14.19657167694439</v>
      </c>
    </row>
    <row r="84" spans="1:24" s="3" customFormat="1" ht="25.5" customHeight="1" thickBot="1">
      <c r="A84" s="358" t="s">
        <v>75</v>
      </c>
      <c r="B84" s="359"/>
      <c r="C84" s="360" t="s">
        <v>26</v>
      </c>
      <c r="D84" s="361"/>
      <c r="E84" s="361"/>
      <c r="F84" s="362"/>
      <c r="G84" s="363">
        <v>11288</v>
      </c>
      <c r="H84" s="364">
        <v>14359</v>
      </c>
      <c r="I84" s="365">
        <f t="shared" si="4"/>
        <v>-3071</v>
      </c>
      <c r="J84" s="366">
        <f t="shared" si="10"/>
        <v>-21.38728323699422</v>
      </c>
      <c r="K84" s="187">
        <f>SUM(G84/G82*100)</f>
        <v>90.3473667360333</v>
      </c>
      <c r="L84" s="177"/>
      <c r="M84" s="172"/>
      <c r="N84" s="358" t="s">
        <v>75</v>
      </c>
      <c r="O84" s="359"/>
      <c r="P84" s="360" t="s">
        <v>26</v>
      </c>
      <c r="Q84" s="361"/>
      <c r="R84" s="361"/>
      <c r="S84" s="362"/>
      <c r="T84" s="363">
        <v>947553</v>
      </c>
      <c r="U84" s="364">
        <v>1456454</v>
      </c>
      <c r="V84" s="365">
        <f t="shared" si="6"/>
        <v>-508901</v>
      </c>
      <c r="W84" s="366">
        <f t="shared" si="11"/>
        <v>-34.94109666354035</v>
      </c>
      <c r="X84" s="187">
        <f>SUM(T84/T82*100)</f>
        <v>85.80342832305561</v>
      </c>
    </row>
    <row r="85" spans="1:24" s="3" customFormat="1" ht="33" customHeight="1">
      <c r="A85" s="469" t="s">
        <v>127</v>
      </c>
      <c r="B85" s="470"/>
      <c r="C85" s="470"/>
      <c r="D85" s="470"/>
      <c r="E85" s="470"/>
      <c r="F85" s="470"/>
      <c r="G85" s="470"/>
      <c r="H85" s="470"/>
      <c r="I85" s="470"/>
      <c r="J85" s="470"/>
      <c r="K85" s="470"/>
      <c r="L85" s="160"/>
      <c r="M85" s="160"/>
      <c r="N85" s="469" t="s">
        <v>127</v>
      </c>
      <c r="O85" s="470"/>
      <c r="P85" s="470"/>
      <c r="Q85" s="470"/>
      <c r="R85" s="470"/>
      <c r="S85" s="470"/>
      <c r="T85" s="470"/>
      <c r="U85" s="470"/>
      <c r="V85" s="470"/>
      <c r="W85" s="470"/>
      <c r="X85" s="470"/>
    </row>
    <row r="86" spans="1:24" s="3" customFormat="1" ht="33" customHeight="1">
      <c r="A86" s="154" t="s">
        <v>40</v>
      </c>
      <c r="B86" s="154"/>
      <c r="C86" s="154"/>
      <c r="D86" s="154"/>
      <c r="E86" s="154"/>
      <c r="F86" s="154"/>
      <c r="G86" s="154"/>
      <c r="H86" s="154"/>
      <c r="I86" s="154"/>
      <c r="J86" s="154"/>
      <c r="K86" s="154"/>
      <c r="L86" s="154"/>
      <c r="M86" s="154"/>
      <c r="N86" s="154" t="s">
        <v>40</v>
      </c>
      <c r="O86" s="154"/>
      <c r="P86" s="154"/>
      <c r="Q86" s="154"/>
      <c r="R86" s="154"/>
      <c r="S86" s="154"/>
      <c r="T86" s="154"/>
      <c r="U86" s="154"/>
      <c r="V86" s="154"/>
      <c r="W86" s="154"/>
      <c r="X86" s="154"/>
    </row>
    <row r="87" spans="1:24" s="3" customFormat="1" ht="27" customHeight="1">
      <c r="A87" s="381" t="str">
        <f>+A45</f>
        <v>2020年農林業センサス　農林業経営体調査　主要項目一覧表　（ 富 山 県 ）</v>
      </c>
      <c r="B87" s="382"/>
      <c r="C87" s="382"/>
      <c r="D87" s="382"/>
      <c r="E87" s="382"/>
      <c r="F87" s="382"/>
      <c r="G87" s="382"/>
      <c r="H87" s="382"/>
      <c r="I87" s="382"/>
      <c r="J87" s="382"/>
      <c r="K87" s="382"/>
      <c r="L87" s="147"/>
      <c r="M87" s="147"/>
      <c r="N87" s="381" t="str">
        <f>+N45</f>
        <v>2020年農林業センサス　農林業経営体調査　主要項目一覧表　　（ 全　 国 ）</v>
      </c>
      <c r="O87" s="382"/>
      <c r="P87" s="382"/>
      <c r="Q87" s="382"/>
      <c r="R87" s="382"/>
      <c r="S87" s="382"/>
      <c r="T87" s="382"/>
      <c r="U87" s="382"/>
      <c r="V87" s="382"/>
      <c r="W87" s="382"/>
      <c r="X87" s="382"/>
    </row>
    <row r="88" spans="1:24" s="3" customFormat="1" ht="27" customHeight="1" thickBot="1">
      <c r="A88" s="196"/>
      <c r="B88" s="196"/>
      <c r="C88" s="196"/>
      <c r="D88" s="196"/>
      <c r="E88" s="196"/>
      <c r="F88" s="196"/>
      <c r="G88" s="148"/>
      <c r="H88" s="148"/>
      <c r="I88" s="148"/>
      <c r="J88" s="148"/>
      <c r="K88" s="293">
        <f>+K46</f>
        <v>44313</v>
      </c>
      <c r="L88" s="149"/>
      <c r="M88" s="148"/>
      <c r="N88" s="148"/>
      <c r="O88" s="148"/>
      <c r="P88" s="148"/>
      <c r="Q88" s="148"/>
      <c r="R88" s="148"/>
      <c r="S88" s="148"/>
      <c r="T88" s="148"/>
      <c r="U88" s="148"/>
      <c r="V88" s="150"/>
      <c r="W88" s="150"/>
      <c r="X88" s="293">
        <f>+X46</f>
        <v>44313</v>
      </c>
    </row>
    <row r="89" spans="1:24" s="3" customFormat="1" ht="22.5" customHeight="1">
      <c r="A89" s="383" t="s">
        <v>86</v>
      </c>
      <c r="B89" s="384"/>
      <c r="C89" s="384"/>
      <c r="D89" s="384"/>
      <c r="E89" s="384"/>
      <c r="F89" s="384"/>
      <c r="G89" s="387" t="s">
        <v>65</v>
      </c>
      <c r="H89" s="388"/>
      <c r="I89" s="388"/>
      <c r="J89" s="388"/>
      <c r="K89" s="389"/>
      <c r="L89" s="170"/>
      <c r="M89" s="173"/>
      <c r="N89" s="383" t="s">
        <v>86</v>
      </c>
      <c r="O89" s="384"/>
      <c r="P89" s="384"/>
      <c r="Q89" s="384"/>
      <c r="R89" s="384"/>
      <c r="S89" s="384"/>
      <c r="T89" s="387" t="s">
        <v>72</v>
      </c>
      <c r="U89" s="388"/>
      <c r="V89" s="388"/>
      <c r="W89" s="388"/>
      <c r="X89" s="389"/>
    </row>
    <row r="90" spans="1:24" s="3" customFormat="1" ht="22.5" customHeight="1">
      <c r="A90" s="385"/>
      <c r="B90" s="386"/>
      <c r="C90" s="386"/>
      <c r="D90" s="386"/>
      <c r="E90" s="386"/>
      <c r="F90" s="386"/>
      <c r="G90" s="92" t="str">
        <f>+G48</f>
        <v>令2（今回）</v>
      </c>
      <c r="H90" s="93" t="str">
        <f>+H48</f>
        <v>平27（前回）</v>
      </c>
      <c r="I90" s="94" t="s">
        <v>21</v>
      </c>
      <c r="J90" s="94" t="s">
        <v>12</v>
      </c>
      <c r="K90" s="152" t="s">
        <v>39</v>
      </c>
      <c r="L90" s="169"/>
      <c r="M90" s="174"/>
      <c r="N90" s="385"/>
      <c r="O90" s="386"/>
      <c r="P90" s="386"/>
      <c r="Q90" s="386"/>
      <c r="R90" s="386"/>
      <c r="S90" s="386"/>
      <c r="T90" s="92" t="str">
        <f>+T48</f>
        <v>令2（今回）</v>
      </c>
      <c r="U90" s="94" t="str">
        <f>+U48</f>
        <v>平27（前回）</v>
      </c>
      <c r="V90" s="94" t="s">
        <v>21</v>
      </c>
      <c r="W90" s="151" t="s">
        <v>12</v>
      </c>
      <c r="X90" s="152" t="s">
        <v>39</v>
      </c>
    </row>
    <row r="91" spans="1:24" s="3" customFormat="1" ht="24.75" customHeight="1" thickBot="1">
      <c r="A91" s="396" t="s">
        <v>81</v>
      </c>
      <c r="B91" s="397"/>
      <c r="C91" s="397"/>
      <c r="D91" s="397"/>
      <c r="E91" s="397"/>
      <c r="F91" s="398"/>
      <c r="G91" s="95" t="s">
        <v>47</v>
      </c>
      <c r="H91" s="96" t="s">
        <v>48</v>
      </c>
      <c r="I91" s="97" t="s">
        <v>49</v>
      </c>
      <c r="J91" s="97" t="s">
        <v>50</v>
      </c>
      <c r="K91" s="153" t="s">
        <v>91</v>
      </c>
      <c r="L91" s="169"/>
      <c r="M91" s="174"/>
      <c r="N91" s="396" t="s">
        <v>81</v>
      </c>
      <c r="O91" s="397"/>
      <c r="P91" s="397"/>
      <c r="Q91" s="397"/>
      <c r="R91" s="397"/>
      <c r="S91" s="398"/>
      <c r="T91" s="95" t="s">
        <v>52</v>
      </c>
      <c r="U91" s="97" t="s">
        <v>53</v>
      </c>
      <c r="V91" s="97" t="s">
        <v>54</v>
      </c>
      <c r="W91" s="97" t="s">
        <v>55</v>
      </c>
      <c r="X91" s="153" t="s">
        <v>91</v>
      </c>
    </row>
    <row r="92" spans="1:24" s="3" customFormat="1" ht="22.5" customHeight="1" thickTop="1">
      <c r="A92" s="467" t="s">
        <v>77</v>
      </c>
      <c r="B92" s="373" t="s">
        <v>3</v>
      </c>
      <c r="C92" s="374"/>
      <c r="D92" s="375"/>
      <c r="E92" s="376"/>
      <c r="F92" s="377"/>
      <c r="G92" s="288">
        <v>11258</v>
      </c>
      <c r="H92" s="283">
        <v>15180</v>
      </c>
      <c r="I92" s="117">
        <f aca="true" t="shared" si="12" ref="I92:I127">SUM(G92-H92)</f>
        <v>-3922</v>
      </c>
      <c r="J92" s="32">
        <f aca="true" t="shared" si="13" ref="J92:J102">SUM(G92/H92*100)-100</f>
        <v>-25.83662714097497</v>
      </c>
      <c r="K92" s="158">
        <f>SUM(G92/G92*100)</f>
        <v>100</v>
      </c>
      <c r="L92" s="184"/>
      <c r="M92" s="180"/>
      <c r="N92" s="467" t="s">
        <v>77</v>
      </c>
      <c r="O92" s="373" t="s">
        <v>3</v>
      </c>
      <c r="P92" s="374"/>
      <c r="Q92" s="375"/>
      <c r="R92" s="376"/>
      <c r="S92" s="377"/>
      <c r="T92" s="288">
        <v>1363038</v>
      </c>
      <c r="U92" s="283">
        <v>1756768</v>
      </c>
      <c r="V92" s="117">
        <f aca="true" t="shared" si="14" ref="V92:V127">SUM(T92-U92)</f>
        <v>-393730</v>
      </c>
      <c r="W92" s="32">
        <f aca="true" t="shared" si="15" ref="W92:W102">SUM(T92/U92*100)-100</f>
        <v>-22.412179638973384</v>
      </c>
      <c r="X92" s="194">
        <f>SUM(T92/T92*100)</f>
        <v>100</v>
      </c>
    </row>
    <row r="93" spans="1:24" s="3" customFormat="1" ht="15" customHeight="1">
      <c r="A93" s="468"/>
      <c r="B93" s="248"/>
      <c r="C93" s="257" t="s">
        <v>63</v>
      </c>
      <c r="D93" s="271"/>
      <c r="E93" s="123"/>
      <c r="F93" s="124"/>
      <c r="G93" s="127">
        <f>3+15+27</f>
        <v>45</v>
      </c>
      <c r="H93" s="282">
        <f>1+21+39</f>
        <v>61</v>
      </c>
      <c r="I93" s="22">
        <f t="shared" si="12"/>
        <v>-16</v>
      </c>
      <c r="J93" s="156">
        <f t="shared" si="13"/>
        <v>-26.229508196721312</v>
      </c>
      <c r="K93" s="157">
        <f>SUM(G93/G92*100)</f>
        <v>0.3997157576834251</v>
      </c>
      <c r="L93" s="183"/>
      <c r="M93" s="179"/>
      <c r="N93" s="468"/>
      <c r="O93" s="248"/>
      <c r="P93" s="257" t="s">
        <v>63</v>
      </c>
      <c r="Q93" s="271"/>
      <c r="R93" s="123"/>
      <c r="S93" s="124"/>
      <c r="T93" s="127">
        <f>607+4661+10796</f>
        <v>16064</v>
      </c>
      <c r="U93" s="282">
        <f>756+6590+16705</f>
        <v>24051</v>
      </c>
      <c r="V93" s="22">
        <f t="shared" si="14"/>
        <v>-7987</v>
      </c>
      <c r="W93" s="156">
        <f t="shared" si="15"/>
        <v>-33.20859839507713</v>
      </c>
      <c r="X93" s="193">
        <f>SUM(T93/T92*100)</f>
        <v>1.1785438116912368</v>
      </c>
    </row>
    <row r="94" spans="1:24" s="3" customFormat="1" ht="15" customHeight="1">
      <c r="A94" s="240" t="s">
        <v>75</v>
      </c>
      <c r="B94" s="248"/>
      <c r="C94" s="257" t="s">
        <v>42</v>
      </c>
      <c r="D94" s="271"/>
      <c r="E94" s="123"/>
      <c r="F94" s="124"/>
      <c r="G94" s="127">
        <f>72+98</f>
        <v>170</v>
      </c>
      <c r="H94" s="282">
        <f>77+121</f>
        <v>198</v>
      </c>
      <c r="I94" s="22">
        <f t="shared" si="12"/>
        <v>-28</v>
      </c>
      <c r="J94" s="156">
        <f t="shared" si="13"/>
        <v>-14.141414141414145</v>
      </c>
      <c r="K94" s="157">
        <f>SUM(G94/G92*100)</f>
        <v>1.5100373068040505</v>
      </c>
      <c r="L94" s="183"/>
      <c r="M94" s="179"/>
      <c r="N94" s="240" t="s">
        <v>75</v>
      </c>
      <c r="O94" s="248"/>
      <c r="P94" s="257" t="s">
        <v>42</v>
      </c>
      <c r="Q94" s="271"/>
      <c r="R94" s="123"/>
      <c r="S94" s="124"/>
      <c r="T94" s="127">
        <f>20252+30219</f>
        <v>50471</v>
      </c>
      <c r="U94" s="282">
        <f>26010+33676</f>
        <v>59686</v>
      </c>
      <c r="V94" s="22">
        <f t="shared" si="14"/>
        <v>-9215</v>
      </c>
      <c r="W94" s="156">
        <f t="shared" si="15"/>
        <v>-15.439131454612479</v>
      </c>
      <c r="X94" s="193">
        <f>SUM(T94/T92*100)</f>
        <v>3.7028314691153144</v>
      </c>
    </row>
    <row r="95" spans="1:24" s="3" customFormat="1" ht="15" customHeight="1">
      <c r="A95" s="240"/>
      <c r="B95" s="248"/>
      <c r="C95" s="257" t="s">
        <v>43</v>
      </c>
      <c r="D95" s="271"/>
      <c r="E95" s="123"/>
      <c r="F95" s="124"/>
      <c r="G95" s="127">
        <f>152+176</f>
        <v>328</v>
      </c>
      <c r="H95" s="282">
        <f>145+175</f>
        <v>320</v>
      </c>
      <c r="I95" s="22">
        <f t="shared" si="12"/>
        <v>8</v>
      </c>
      <c r="J95" s="156">
        <f t="shared" si="13"/>
        <v>2.499999999999986</v>
      </c>
      <c r="K95" s="157">
        <f>SUM(G95/G92*100)</f>
        <v>2.913483744892521</v>
      </c>
      <c r="L95" s="183"/>
      <c r="M95" s="179"/>
      <c r="N95" s="240"/>
      <c r="O95" s="248"/>
      <c r="P95" s="257" t="s">
        <v>43</v>
      </c>
      <c r="Q95" s="271"/>
      <c r="R95" s="123"/>
      <c r="S95" s="124"/>
      <c r="T95" s="127">
        <f>37702+43231</f>
        <v>80933</v>
      </c>
      <c r="U95" s="282">
        <f>40756+49548</f>
        <v>90304</v>
      </c>
      <c r="V95" s="22">
        <f t="shared" si="14"/>
        <v>-9371</v>
      </c>
      <c r="W95" s="156">
        <f t="shared" si="15"/>
        <v>-10.377170446491846</v>
      </c>
      <c r="X95" s="193">
        <f>SUM(T95/T92*100)</f>
        <v>5.937692125971543</v>
      </c>
    </row>
    <row r="96" spans="1:24" s="3" customFormat="1" ht="15" customHeight="1">
      <c r="A96" s="240"/>
      <c r="B96" s="248"/>
      <c r="C96" s="257" t="s">
        <v>136</v>
      </c>
      <c r="D96" s="271"/>
      <c r="E96" s="123"/>
      <c r="F96" s="124"/>
      <c r="G96" s="127">
        <v>211</v>
      </c>
      <c r="H96" s="282">
        <v>211</v>
      </c>
      <c r="I96" s="22">
        <f t="shared" si="12"/>
        <v>0</v>
      </c>
      <c r="J96" s="156">
        <f t="shared" si="13"/>
        <v>0</v>
      </c>
      <c r="K96" s="157">
        <f>SUM(G96/G92*100)</f>
        <v>1.8742227749156153</v>
      </c>
      <c r="L96" s="183"/>
      <c r="M96" s="179"/>
      <c r="N96" s="240"/>
      <c r="O96" s="248"/>
      <c r="P96" s="257" t="s">
        <v>136</v>
      </c>
      <c r="Q96" s="271"/>
      <c r="R96" s="123"/>
      <c r="S96" s="124"/>
      <c r="T96" s="127">
        <v>50169</v>
      </c>
      <c r="U96" s="282">
        <v>76064</v>
      </c>
      <c r="V96" s="22">
        <f t="shared" si="14"/>
        <v>-25895</v>
      </c>
      <c r="W96" s="156">
        <f t="shared" si="15"/>
        <v>-34.04370004206983</v>
      </c>
      <c r="X96" s="193">
        <f>SUM(T96/T92*100)</f>
        <v>3.680675080225203</v>
      </c>
    </row>
    <row r="97" spans="1:24" s="3" customFormat="1" ht="15" customHeight="1">
      <c r="A97" s="240"/>
      <c r="B97" s="248"/>
      <c r="C97" s="257" t="s">
        <v>137</v>
      </c>
      <c r="D97" s="271"/>
      <c r="E97" s="123"/>
      <c r="F97" s="124"/>
      <c r="G97" s="127">
        <v>248</v>
      </c>
      <c r="H97" s="282">
        <v>452</v>
      </c>
      <c r="I97" s="22">
        <f>SUM(G97-H97)</f>
        <v>-204</v>
      </c>
      <c r="J97" s="156">
        <f>SUM(G97/H97*100)-100</f>
        <v>-45.13274336283186</v>
      </c>
      <c r="K97" s="157">
        <f>SUM(G97/G92*100)</f>
        <v>2.2028779534553204</v>
      </c>
      <c r="L97" s="183"/>
      <c r="M97" s="179"/>
      <c r="N97" s="240"/>
      <c r="O97" s="248"/>
      <c r="P97" s="257" t="s">
        <v>137</v>
      </c>
      <c r="Q97" s="271"/>
      <c r="R97" s="123"/>
      <c r="S97" s="124"/>
      <c r="T97" s="127">
        <v>76733</v>
      </c>
      <c r="U97" s="282">
        <v>124790</v>
      </c>
      <c r="V97" s="22">
        <f>SUM(T97-U97)</f>
        <v>-48057</v>
      </c>
      <c r="W97" s="156">
        <f>SUM(T97/U97*100)-100</f>
        <v>-38.510297299463105</v>
      </c>
      <c r="X97" s="193">
        <f>SUM(T97/T92*100)</f>
        <v>5.629556916241514</v>
      </c>
    </row>
    <row r="98" spans="1:24" s="3" customFormat="1" ht="15" customHeight="1">
      <c r="A98" s="240"/>
      <c r="B98" s="248"/>
      <c r="C98" s="257" t="s">
        <v>45</v>
      </c>
      <c r="D98" s="271"/>
      <c r="E98" s="123"/>
      <c r="F98" s="124"/>
      <c r="G98" s="127">
        <v>776</v>
      </c>
      <c r="H98" s="282">
        <v>1686</v>
      </c>
      <c r="I98" s="22">
        <f t="shared" si="12"/>
        <v>-910</v>
      </c>
      <c r="J98" s="156">
        <f t="shared" si="13"/>
        <v>-53.97390272835113</v>
      </c>
      <c r="K98" s="157">
        <f>SUM(G98/G92*100)</f>
        <v>6.892876176940842</v>
      </c>
      <c r="L98" s="183"/>
      <c r="M98" s="179"/>
      <c r="N98" s="240"/>
      <c r="O98" s="248"/>
      <c r="P98" s="257" t="s">
        <v>45</v>
      </c>
      <c r="Q98" s="271"/>
      <c r="R98" s="123"/>
      <c r="S98" s="124"/>
      <c r="T98" s="127">
        <v>140047</v>
      </c>
      <c r="U98" s="282">
        <v>241833</v>
      </c>
      <c r="V98" s="22">
        <f t="shared" si="14"/>
        <v>-101786</v>
      </c>
      <c r="W98" s="156">
        <f t="shared" si="15"/>
        <v>-42.0893757262243</v>
      </c>
      <c r="X98" s="193">
        <f>SUM(T98/T92*100)</f>
        <v>10.274621837395582</v>
      </c>
    </row>
    <row r="99" spans="1:24" s="3" customFormat="1" ht="15" customHeight="1">
      <c r="A99" s="240"/>
      <c r="B99" s="248"/>
      <c r="C99" s="257" t="s">
        <v>138</v>
      </c>
      <c r="D99" s="271"/>
      <c r="E99" s="123"/>
      <c r="F99" s="124"/>
      <c r="G99" s="127">
        <v>2201</v>
      </c>
      <c r="H99" s="282">
        <v>3562</v>
      </c>
      <c r="I99" s="22">
        <f>SUM(G99-H99)</f>
        <v>-1361</v>
      </c>
      <c r="J99" s="156">
        <f>SUM(G99/H99*100)-100</f>
        <v>-38.20887142055025</v>
      </c>
      <c r="K99" s="157">
        <f>SUM(G99/G92*100)</f>
        <v>19.550541836915972</v>
      </c>
      <c r="L99" s="183"/>
      <c r="M99" s="179"/>
      <c r="N99" s="240"/>
      <c r="O99" s="248"/>
      <c r="P99" s="257" t="s">
        <v>138</v>
      </c>
      <c r="Q99" s="271"/>
      <c r="R99" s="123"/>
      <c r="S99" s="124"/>
      <c r="T99" s="127">
        <v>252668</v>
      </c>
      <c r="U99" s="282">
        <v>305596</v>
      </c>
      <c r="V99" s="22">
        <f>SUM(T99-U99)</f>
        <v>-52928</v>
      </c>
      <c r="W99" s="156">
        <f>SUM(T99/U99*100)-100</f>
        <v>-17.319598424063145</v>
      </c>
      <c r="X99" s="193">
        <f>SUM(T99/T92*100)</f>
        <v>18.537120755254072</v>
      </c>
    </row>
    <row r="100" spans="1:24" s="3" customFormat="1" ht="15" customHeight="1">
      <c r="A100" s="240"/>
      <c r="B100" s="248"/>
      <c r="C100" s="257" t="s">
        <v>139</v>
      </c>
      <c r="D100" s="271"/>
      <c r="E100" s="123"/>
      <c r="F100" s="124"/>
      <c r="G100" s="127">
        <v>3051</v>
      </c>
      <c r="H100" s="282">
        <v>3432</v>
      </c>
      <c r="I100" s="22">
        <f>SUM(G100-H100)</f>
        <v>-381</v>
      </c>
      <c r="J100" s="156">
        <f>SUM(G100/H100*100)-100</f>
        <v>-11.1013986013986</v>
      </c>
      <c r="K100" s="157">
        <f>SUM(G100/G92*100)</f>
        <v>27.100728370936224</v>
      </c>
      <c r="L100" s="183"/>
      <c r="M100" s="179"/>
      <c r="N100" s="240"/>
      <c r="O100" s="248"/>
      <c r="P100" s="257" t="s">
        <v>139</v>
      </c>
      <c r="Q100" s="271"/>
      <c r="R100" s="123"/>
      <c r="S100" s="124"/>
      <c r="T100" s="127">
        <v>264193</v>
      </c>
      <c r="U100" s="282">
        <v>284900</v>
      </c>
      <c r="V100" s="22">
        <f>SUM(T100-U100)</f>
        <v>-20707</v>
      </c>
      <c r="W100" s="156">
        <f>SUM(T100/U100*100)-100</f>
        <v>-7.26816426816427</v>
      </c>
      <c r="X100" s="193">
        <f>SUM(T100/T92*100)</f>
        <v>19.3826584438585</v>
      </c>
    </row>
    <row r="101" spans="1:24" s="3" customFormat="1" ht="15" customHeight="1">
      <c r="A101" s="240"/>
      <c r="B101" s="248"/>
      <c r="C101" s="257" t="s">
        <v>140</v>
      </c>
      <c r="D101" s="271"/>
      <c r="E101" s="123"/>
      <c r="F101" s="124"/>
      <c r="G101" s="127">
        <v>2071</v>
      </c>
      <c r="H101" s="282">
        <v>2732</v>
      </c>
      <c r="I101" s="22">
        <f>SUM(G101-H101)</f>
        <v>-661</v>
      </c>
      <c r="J101" s="156">
        <f>SUM(G101/H101*100)-100</f>
        <v>-24.194729136163986</v>
      </c>
      <c r="K101" s="157">
        <f>SUM(G101/G92*100)</f>
        <v>18.395807425830522</v>
      </c>
      <c r="L101" s="183"/>
      <c r="M101" s="179"/>
      <c r="N101" s="240"/>
      <c r="O101" s="248"/>
      <c r="P101" s="257" t="s">
        <v>140</v>
      </c>
      <c r="Q101" s="271"/>
      <c r="R101" s="123"/>
      <c r="S101" s="124"/>
      <c r="T101" s="127">
        <v>196217</v>
      </c>
      <c r="U101" s="282">
        <v>274508</v>
      </c>
      <c r="V101" s="22">
        <f>SUM(T101-U101)</f>
        <v>-78291</v>
      </c>
      <c r="W101" s="156">
        <f>SUM(T101/U101*100)-100</f>
        <v>-28.520480277441834</v>
      </c>
      <c r="X101" s="193">
        <f>SUM(T101/T92*100)</f>
        <v>14.395563439904096</v>
      </c>
    </row>
    <row r="102" spans="1:24" s="3" customFormat="1" ht="15" customHeight="1">
      <c r="A102" s="323"/>
      <c r="B102" s="248"/>
      <c r="C102" s="257" t="s">
        <v>141</v>
      </c>
      <c r="D102" s="271"/>
      <c r="E102" s="123"/>
      <c r="F102" s="124"/>
      <c r="G102" s="127">
        <v>2157</v>
      </c>
      <c r="H102" s="282">
        <v>2526</v>
      </c>
      <c r="I102" s="22">
        <f t="shared" si="12"/>
        <v>-369</v>
      </c>
      <c r="J102" s="156">
        <f t="shared" si="13"/>
        <v>-14.60807600950119</v>
      </c>
      <c r="K102" s="157">
        <f>SUM(G102/G92*100)</f>
        <v>19.15970865162551</v>
      </c>
      <c r="L102" s="183"/>
      <c r="M102" s="179"/>
      <c r="N102" s="323"/>
      <c r="O102" s="248"/>
      <c r="P102" s="257" t="s">
        <v>141</v>
      </c>
      <c r="Q102" s="271"/>
      <c r="R102" s="123"/>
      <c r="S102" s="124"/>
      <c r="T102" s="127">
        <v>235543</v>
      </c>
      <c r="U102" s="282">
        <v>275036</v>
      </c>
      <c r="V102" s="22">
        <f t="shared" si="14"/>
        <v>-39493</v>
      </c>
      <c r="W102" s="156">
        <f t="shared" si="15"/>
        <v>-14.35921115781207</v>
      </c>
      <c r="X102" s="193">
        <f>SUM(T102/T92*100)</f>
        <v>17.28073612034294</v>
      </c>
    </row>
    <row r="103" spans="1:24" s="3" customFormat="1" ht="22.5" customHeight="1" thickBot="1">
      <c r="A103" s="240"/>
      <c r="B103" s="265"/>
      <c r="C103" s="471" t="s">
        <v>18</v>
      </c>
      <c r="D103" s="472"/>
      <c r="E103" s="472"/>
      <c r="F103" s="473"/>
      <c r="G103" s="205">
        <v>71.3</v>
      </c>
      <c r="H103" s="289">
        <v>70.5</v>
      </c>
      <c r="I103" s="118">
        <f t="shared" si="12"/>
        <v>0.7999999999999972</v>
      </c>
      <c r="J103" s="119" t="s">
        <v>87</v>
      </c>
      <c r="K103" s="159" t="s">
        <v>87</v>
      </c>
      <c r="L103" s="155"/>
      <c r="M103" s="181"/>
      <c r="N103" s="240"/>
      <c r="O103" s="265"/>
      <c r="P103" s="471" t="s">
        <v>18</v>
      </c>
      <c r="Q103" s="472"/>
      <c r="R103" s="472"/>
      <c r="S103" s="473"/>
      <c r="T103" s="205">
        <v>67.8</v>
      </c>
      <c r="U103" s="289">
        <v>67</v>
      </c>
      <c r="V103" s="118">
        <f t="shared" si="14"/>
        <v>0.7999999999999972</v>
      </c>
      <c r="W103" s="119" t="s">
        <v>87</v>
      </c>
      <c r="X103" s="195" t="s">
        <v>87</v>
      </c>
    </row>
    <row r="104" spans="1:24" s="3" customFormat="1" ht="27" customHeight="1" thickTop="1">
      <c r="A104" s="370" t="s">
        <v>78</v>
      </c>
      <c r="B104" s="373" t="s">
        <v>3</v>
      </c>
      <c r="C104" s="374"/>
      <c r="D104" s="375"/>
      <c r="E104" s="376"/>
      <c r="F104" s="377"/>
      <c r="G104" s="206">
        <v>49381</v>
      </c>
      <c r="H104" s="207">
        <v>50984</v>
      </c>
      <c r="I104" s="111">
        <f t="shared" si="12"/>
        <v>-1603</v>
      </c>
      <c r="J104" s="112">
        <f aca="true" t="shared" si="16" ref="J104:J127">SUM(G104/H104*100)-100</f>
        <v>-3.1441236466342275</v>
      </c>
      <c r="K104" s="9">
        <f>SUM(G104/G104*100)</f>
        <v>100</v>
      </c>
      <c r="L104" s="89"/>
      <c r="M104" s="172"/>
      <c r="N104" s="370" t="s">
        <v>78</v>
      </c>
      <c r="O104" s="373" t="s">
        <v>3</v>
      </c>
      <c r="P104" s="374"/>
      <c r="Q104" s="375"/>
      <c r="R104" s="376"/>
      <c r="S104" s="377"/>
      <c r="T104" s="120">
        <v>3232882</v>
      </c>
      <c r="U104" s="121">
        <v>3451444</v>
      </c>
      <c r="V104" s="113">
        <f t="shared" si="14"/>
        <v>-218562</v>
      </c>
      <c r="W104" s="112">
        <f aca="true" t="shared" si="17" ref="W104:W127">SUM(T104/U104*100)-100</f>
        <v>-6.332479970702124</v>
      </c>
      <c r="X104" s="9">
        <f>SUM(T104/T104*100)</f>
        <v>100</v>
      </c>
    </row>
    <row r="105" spans="1:24" s="3" customFormat="1" ht="25.5" customHeight="1">
      <c r="A105" s="474"/>
      <c r="B105" s="272"/>
      <c r="C105" s="122" t="s">
        <v>28</v>
      </c>
      <c r="D105" s="123"/>
      <c r="E105" s="123"/>
      <c r="F105" s="124"/>
      <c r="G105" s="125">
        <v>47806</v>
      </c>
      <c r="H105" s="126">
        <v>49417</v>
      </c>
      <c r="I105" s="18">
        <f t="shared" si="12"/>
        <v>-1611</v>
      </c>
      <c r="J105" s="11">
        <f t="shared" si="16"/>
        <v>-3.2600117368516806</v>
      </c>
      <c r="K105" s="16">
        <f>SUM(G105/G104*100)</f>
        <v>96.81051416536725</v>
      </c>
      <c r="L105" s="89"/>
      <c r="M105" s="172"/>
      <c r="N105" s="474"/>
      <c r="O105" s="272"/>
      <c r="P105" s="122" t="s">
        <v>28</v>
      </c>
      <c r="Q105" s="123"/>
      <c r="R105" s="123"/>
      <c r="S105" s="124"/>
      <c r="T105" s="127">
        <v>1784900</v>
      </c>
      <c r="U105" s="128">
        <v>1947029</v>
      </c>
      <c r="V105" s="10">
        <f t="shared" si="14"/>
        <v>-162129</v>
      </c>
      <c r="W105" s="15">
        <f t="shared" si="17"/>
        <v>-8.326994615899409</v>
      </c>
      <c r="X105" s="16">
        <f>SUM(T105/T104*100)</f>
        <v>55.21079952809907</v>
      </c>
    </row>
    <row r="106" spans="1:24" s="3" customFormat="1" ht="24.75" customHeight="1">
      <c r="A106" s="276" t="s">
        <v>84</v>
      </c>
      <c r="B106" s="272"/>
      <c r="C106" s="122" t="s">
        <v>29</v>
      </c>
      <c r="D106" s="123"/>
      <c r="E106" s="123"/>
      <c r="F106" s="124"/>
      <c r="G106" s="125">
        <v>1164</v>
      </c>
      <c r="H106" s="126">
        <v>1082</v>
      </c>
      <c r="I106" s="18">
        <f t="shared" si="12"/>
        <v>82</v>
      </c>
      <c r="J106" s="11">
        <f t="shared" si="16"/>
        <v>7.578558225508331</v>
      </c>
      <c r="K106" s="16">
        <f>SUM(G106/G104*100)</f>
        <v>2.357181912071445</v>
      </c>
      <c r="L106" s="89"/>
      <c r="M106" s="172"/>
      <c r="N106" s="276" t="s">
        <v>84</v>
      </c>
      <c r="O106" s="272"/>
      <c r="P106" s="122" t="s">
        <v>29</v>
      </c>
      <c r="Q106" s="123"/>
      <c r="R106" s="123"/>
      <c r="S106" s="124"/>
      <c r="T106" s="127">
        <v>1288829</v>
      </c>
      <c r="U106" s="128">
        <v>1315767</v>
      </c>
      <c r="V106" s="10">
        <f t="shared" si="14"/>
        <v>-26938</v>
      </c>
      <c r="W106" s="15">
        <f t="shared" si="17"/>
        <v>-2.0473229682763048</v>
      </c>
      <c r="X106" s="16">
        <f>SUM(T106/T104*100)</f>
        <v>39.866255557734554</v>
      </c>
    </row>
    <row r="107" spans="1:24" s="3" customFormat="1" ht="24.75" customHeight="1">
      <c r="A107" s="270"/>
      <c r="B107" s="272"/>
      <c r="C107" s="122" t="s">
        <v>30</v>
      </c>
      <c r="D107" s="123"/>
      <c r="E107" s="123"/>
      <c r="F107" s="124"/>
      <c r="G107" s="125">
        <v>411</v>
      </c>
      <c r="H107" s="126">
        <v>486</v>
      </c>
      <c r="I107" s="18">
        <f t="shared" si="12"/>
        <v>-75</v>
      </c>
      <c r="J107" s="11">
        <f t="shared" si="16"/>
        <v>-15.432098765432102</v>
      </c>
      <c r="K107" s="16">
        <f>SUM(G107/G104*100)</f>
        <v>0.832303922561309</v>
      </c>
      <c r="L107" s="89"/>
      <c r="M107" s="172"/>
      <c r="N107" s="270"/>
      <c r="O107" s="272"/>
      <c r="P107" s="122" t="s">
        <v>30</v>
      </c>
      <c r="Q107" s="123"/>
      <c r="R107" s="123"/>
      <c r="S107" s="124"/>
      <c r="T107" s="127">
        <v>159154</v>
      </c>
      <c r="U107" s="128">
        <v>188648</v>
      </c>
      <c r="V107" s="10">
        <f t="shared" si="14"/>
        <v>-29494</v>
      </c>
      <c r="W107" s="15">
        <f t="shared" si="17"/>
        <v>-15.634409058140037</v>
      </c>
      <c r="X107" s="16">
        <f>SUM(T107/T104*100)</f>
        <v>4.922975846319167</v>
      </c>
    </row>
    <row r="108" spans="1:24" s="3" customFormat="1" ht="24.75" customHeight="1">
      <c r="A108" s="270"/>
      <c r="B108" s="272"/>
      <c r="C108" s="475" t="s">
        <v>92</v>
      </c>
      <c r="D108" s="476"/>
      <c r="E108" s="476"/>
      <c r="F108" s="477"/>
      <c r="G108" s="208">
        <f>+G104/(G62-G63)</f>
        <v>4.042652476463365</v>
      </c>
      <c r="H108" s="209">
        <f>+H104/(H62-H63)</f>
        <v>2.9011039034937975</v>
      </c>
      <c r="I108" s="129">
        <f t="shared" si="12"/>
        <v>1.1415485729695676</v>
      </c>
      <c r="J108" s="15">
        <f t="shared" si="16"/>
        <v>39.34876553696685</v>
      </c>
      <c r="K108" s="131" t="s">
        <v>87</v>
      </c>
      <c r="L108" s="171"/>
      <c r="M108" s="178"/>
      <c r="N108" s="270"/>
      <c r="O108" s="272"/>
      <c r="P108" s="475" t="s">
        <v>92</v>
      </c>
      <c r="Q108" s="476"/>
      <c r="R108" s="476"/>
      <c r="S108" s="477"/>
      <c r="T108" s="277">
        <f>+T104/(T62-T63)</f>
        <v>3.0534779561635657</v>
      </c>
      <c r="U108" s="280">
        <f>+U104/(U62-U63)</f>
        <v>2.5356320302209046</v>
      </c>
      <c r="V108" s="130">
        <f t="shared" si="14"/>
        <v>0.5178459259426611</v>
      </c>
      <c r="W108" s="15">
        <f t="shared" si="17"/>
        <v>20.422755343469376</v>
      </c>
      <c r="X108" s="131" t="s">
        <v>87</v>
      </c>
    </row>
    <row r="109" spans="1:24" s="3" customFormat="1" ht="24.75" customHeight="1" thickBot="1">
      <c r="A109" s="273"/>
      <c r="B109" s="274"/>
      <c r="C109" s="478" t="s">
        <v>17</v>
      </c>
      <c r="D109" s="479"/>
      <c r="E109" s="479"/>
      <c r="F109" s="480"/>
      <c r="G109" s="210">
        <v>35260</v>
      </c>
      <c r="H109" s="211">
        <v>29977</v>
      </c>
      <c r="I109" s="132">
        <f t="shared" si="12"/>
        <v>5283</v>
      </c>
      <c r="J109" s="133">
        <f t="shared" si="16"/>
        <v>17.623511358708342</v>
      </c>
      <c r="K109" s="86">
        <f>SUM(G109/G104*100)</f>
        <v>71.40398128834977</v>
      </c>
      <c r="L109" s="89"/>
      <c r="M109" s="172"/>
      <c r="N109" s="273"/>
      <c r="O109" s="274"/>
      <c r="P109" s="478" t="s">
        <v>17</v>
      </c>
      <c r="Q109" s="479"/>
      <c r="R109" s="479"/>
      <c r="S109" s="480"/>
      <c r="T109" s="278">
        <v>1257126</v>
      </c>
      <c r="U109" s="281">
        <v>1164135</v>
      </c>
      <c r="V109" s="134">
        <f t="shared" si="14"/>
        <v>92991</v>
      </c>
      <c r="W109" s="133">
        <f t="shared" si="17"/>
        <v>7.987991083508362</v>
      </c>
      <c r="X109" s="86">
        <f>SUM(T109/T104*100)</f>
        <v>38.88561351759823</v>
      </c>
    </row>
    <row r="110" spans="1:24" s="3" customFormat="1" ht="25.5" customHeight="1" thickTop="1">
      <c r="A110" s="370" t="s">
        <v>89</v>
      </c>
      <c r="B110" s="373" t="s">
        <v>3</v>
      </c>
      <c r="C110" s="374"/>
      <c r="D110" s="375"/>
      <c r="E110" s="376"/>
      <c r="F110" s="377"/>
      <c r="G110" s="286">
        <v>49381</v>
      </c>
      <c r="H110" s="290">
        <v>50984.42</v>
      </c>
      <c r="I110" s="135">
        <f t="shared" si="12"/>
        <v>-1603.4199999999983</v>
      </c>
      <c r="J110" s="136">
        <f t="shared" si="16"/>
        <v>-3.1449215270076536</v>
      </c>
      <c r="K110" s="28">
        <f>SUM(G110/G110*100)</f>
        <v>100</v>
      </c>
      <c r="L110" s="89"/>
      <c r="M110" s="172"/>
      <c r="N110" s="370" t="s">
        <v>89</v>
      </c>
      <c r="O110" s="373" t="s">
        <v>3</v>
      </c>
      <c r="P110" s="374"/>
      <c r="Q110" s="375"/>
      <c r="R110" s="376"/>
      <c r="S110" s="377"/>
      <c r="T110" s="284">
        <v>3232882</v>
      </c>
      <c r="U110" s="285">
        <v>3451444</v>
      </c>
      <c r="V110" s="137">
        <f t="shared" si="14"/>
        <v>-218562</v>
      </c>
      <c r="W110" s="136">
        <f t="shared" si="17"/>
        <v>-6.332479970702124</v>
      </c>
      <c r="X110" s="38">
        <f>SUM(T110/T110*100)</f>
        <v>100</v>
      </c>
    </row>
    <row r="111" spans="1:24" s="3" customFormat="1" ht="15" customHeight="1">
      <c r="A111" s="474"/>
      <c r="B111" s="215"/>
      <c r="C111" s="437" t="s">
        <v>66</v>
      </c>
      <c r="D111" s="438"/>
      <c r="E111" s="438"/>
      <c r="F111" s="439"/>
      <c r="G111" s="164">
        <f>25+597+2471</f>
        <v>3093</v>
      </c>
      <c r="H111" s="165">
        <v>4682.55</v>
      </c>
      <c r="I111" s="162">
        <f t="shared" si="12"/>
        <v>-1589.5500000000002</v>
      </c>
      <c r="J111" s="108">
        <f t="shared" si="16"/>
        <v>-33.94624723708236</v>
      </c>
      <c r="K111" s="16">
        <f>SUM(G111/G110*100)</f>
        <v>6.26354265810737</v>
      </c>
      <c r="L111" s="89"/>
      <c r="M111" s="172"/>
      <c r="N111" s="474"/>
      <c r="O111" s="215"/>
      <c r="P111" s="437" t="s">
        <v>66</v>
      </c>
      <c r="Q111" s="438"/>
      <c r="R111" s="438"/>
      <c r="S111" s="439"/>
      <c r="T111" s="279">
        <f>6715+73982+222190</f>
        <v>302887</v>
      </c>
      <c r="U111" s="165">
        <v>410996</v>
      </c>
      <c r="V111" s="22">
        <f t="shared" si="14"/>
        <v>-108109</v>
      </c>
      <c r="W111" s="11">
        <f t="shared" si="17"/>
        <v>-26.30414894548852</v>
      </c>
      <c r="X111" s="16">
        <f>SUM(T111/T110*100)</f>
        <v>9.368946964349457</v>
      </c>
    </row>
    <row r="112" spans="1:24" s="3" customFormat="1" ht="15" customHeight="1">
      <c r="A112" s="62" t="s">
        <v>84</v>
      </c>
      <c r="B112" s="215"/>
      <c r="C112" s="481">
        <v>1</v>
      </c>
      <c r="D112" s="482"/>
      <c r="E112" s="251" t="s">
        <v>14</v>
      </c>
      <c r="F112" s="252" t="s">
        <v>57</v>
      </c>
      <c r="G112" s="164">
        <f>2869+2573</f>
        <v>5442</v>
      </c>
      <c r="H112" s="165">
        <v>8456.26</v>
      </c>
      <c r="I112" s="162">
        <f t="shared" si="12"/>
        <v>-3014.26</v>
      </c>
      <c r="J112" s="108">
        <f t="shared" si="16"/>
        <v>-35.645308919072974</v>
      </c>
      <c r="K112" s="16">
        <f>SUM(G112/G110*100)</f>
        <v>11.020432960045362</v>
      </c>
      <c r="L112" s="89"/>
      <c r="M112" s="172"/>
      <c r="N112" s="62" t="s">
        <v>84</v>
      </c>
      <c r="O112" s="215"/>
      <c r="P112" s="481">
        <v>1</v>
      </c>
      <c r="Q112" s="482"/>
      <c r="R112" s="251" t="s">
        <v>14</v>
      </c>
      <c r="S112" s="252" t="s">
        <v>57</v>
      </c>
      <c r="T112" s="279">
        <f>188894+149546</f>
        <v>338440</v>
      </c>
      <c r="U112" s="165">
        <v>458876</v>
      </c>
      <c r="V112" s="22">
        <f t="shared" si="14"/>
        <v>-120436</v>
      </c>
      <c r="W112" s="11">
        <f t="shared" si="17"/>
        <v>-26.24587034405809</v>
      </c>
      <c r="X112" s="16">
        <f>SUM(T112/T110*100)</f>
        <v>10.468677792755814</v>
      </c>
    </row>
    <row r="113" spans="1:24" s="3" customFormat="1" ht="15" customHeight="1">
      <c r="A113" s="98"/>
      <c r="B113" s="215"/>
      <c r="C113" s="481">
        <v>2</v>
      </c>
      <c r="D113" s="483"/>
      <c r="E113" s="251" t="s">
        <v>14</v>
      </c>
      <c r="F113" s="252" t="s">
        <v>58</v>
      </c>
      <c r="G113" s="164">
        <v>2796</v>
      </c>
      <c r="H113" s="165">
        <v>3954.25</v>
      </c>
      <c r="I113" s="162">
        <f t="shared" si="12"/>
        <v>-1158.25</v>
      </c>
      <c r="J113" s="108">
        <f t="shared" si="16"/>
        <v>-29.291268887905417</v>
      </c>
      <c r="K113" s="16">
        <f>SUM(G113/G110*100)</f>
        <v>5.662096757862336</v>
      </c>
      <c r="L113" s="89"/>
      <c r="M113" s="172"/>
      <c r="N113" s="98"/>
      <c r="O113" s="215"/>
      <c r="P113" s="481">
        <v>2</v>
      </c>
      <c r="Q113" s="483"/>
      <c r="R113" s="251" t="s">
        <v>14</v>
      </c>
      <c r="S113" s="252" t="s">
        <v>58</v>
      </c>
      <c r="T113" s="279">
        <v>217368</v>
      </c>
      <c r="U113" s="165">
        <v>277231</v>
      </c>
      <c r="V113" s="22">
        <f t="shared" si="14"/>
        <v>-59863</v>
      </c>
      <c r="W113" s="11">
        <f t="shared" si="17"/>
        <v>-21.593184023431718</v>
      </c>
      <c r="X113" s="16">
        <f>SUM(T113/T110*100)</f>
        <v>6.723660189267656</v>
      </c>
    </row>
    <row r="114" spans="1:24" s="3" customFormat="1" ht="15" customHeight="1">
      <c r="A114" s="98"/>
      <c r="B114" s="215"/>
      <c r="C114" s="481">
        <v>3</v>
      </c>
      <c r="D114" s="483"/>
      <c r="E114" s="251" t="s">
        <v>14</v>
      </c>
      <c r="F114" s="252" t="s">
        <v>59</v>
      </c>
      <c r="G114" s="164">
        <v>2271</v>
      </c>
      <c r="H114" s="165">
        <v>2857.62</v>
      </c>
      <c r="I114" s="162">
        <f t="shared" si="12"/>
        <v>-586.6199999999999</v>
      </c>
      <c r="J114" s="108">
        <f t="shared" si="16"/>
        <v>-20.528271778612975</v>
      </c>
      <c r="K114" s="16">
        <f>SUM(G114/G110*100)</f>
        <v>4.598934812984751</v>
      </c>
      <c r="L114" s="89"/>
      <c r="M114" s="172"/>
      <c r="N114" s="98"/>
      <c r="O114" s="215"/>
      <c r="P114" s="481">
        <v>3</v>
      </c>
      <c r="Q114" s="483"/>
      <c r="R114" s="251" t="s">
        <v>14</v>
      </c>
      <c r="S114" s="252" t="s">
        <v>59</v>
      </c>
      <c r="T114" s="279">
        <v>256865</v>
      </c>
      <c r="U114" s="165">
        <v>306703</v>
      </c>
      <c r="V114" s="22">
        <f t="shared" si="14"/>
        <v>-49838</v>
      </c>
      <c r="W114" s="11">
        <f t="shared" si="17"/>
        <v>-16.249596515195492</v>
      </c>
      <c r="X114" s="16">
        <f>SUM(T114/T110*100)</f>
        <v>7.945387428307003</v>
      </c>
    </row>
    <row r="115" spans="1:24" s="3" customFormat="1" ht="15" customHeight="1">
      <c r="A115" s="98"/>
      <c r="B115" s="215"/>
      <c r="C115" s="481">
        <v>5</v>
      </c>
      <c r="D115" s="483"/>
      <c r="E115" s="251" t="s">
        <v>14</v>
      </c>
      <c r="F115" s="252" t="s">
        <v>15</v>
      </c>
      <c r="G115" s="164">
        <v>2955</v>
      </c>
      <c r="H115" s="165">
        <v>3679.14</v>
      </c>
      <c r="I115" s="162">
        <f t="shared" si="12"/>
        <v>-724.1399999999999</v>
      </c>
      <c r="J115" s="108">
        <f t="shared" si="16"/>
        <v>-19.682317063226733</v>
      </c>
      <c r="K115" s="16">
        <f>SUM(G115/G110*100)</f>
        <v>5.984082946882404</v>
      </c>
      <c r="L115" s="89"/>
      <c r="M115" s="172"/>
      <c r="N115" s="98"/>
      <c r="O115" s="215"/>
      <c r="P115" s="481">
        <v>5</v>
      </c>
      <c r="Q115" s="483"/>
      <c r="R115" s="251" t="s">
        <v>14</v>
      </c>
      <c r="S115" s="252" t="s">
        <v>15</v>
      </c>
      <c r="T115" s="279">
        <v>329371</v>
      </c>
      <c r="U115" s="165">
        <v>354832</v>
      </c>
      <c r="V115" s="22">
        <f t="shared" si="14"/>
        <v>-25461</v>
      </c>
      <c r="W115" s="11">
        <f t="shared" si="17"/>
        <v>-7.175508409613556</v>
      </c>
      <c r="X115" s="16">
        <f>SUM(T115/T110*100)</f>
        <v>10.188154099036092</v>
      </c>
    </row>
    <row r="116" spans="1:24" s="3" customFormat="1" ht="15" customHeight="1">
      <c r="A116" s="98"/>
      <c r="B116" s="215"/>
      <c r="C116" s="440" t="s">
        <v>67</v>
      </c>
      <c r="D116" s="484"/>
      <c r="E116" s="485"/>
      <c r="F116" s="252" t="s">
        <v>16</v>
      </c>
      <c r="G116" s="164">
        <f>5215+6038</f>
        <v>11253</v>
      </c>
      <c r="H116" s="165">
        <v>11476.53</v>
      </c>
      <c r="I116" s="162">
        <f t="shared" si="12"/>
        <v>-223.53000000000065</v>
      </c>
      <c r="J116" s="108">
        <f t="shared" si="16"/>
        <v>-1.9477141609876867</v>
      </c>
      <c r="K116" s="16">
        <f>SUM(G116/G110*100)</f>
        <v>22.788116887061825</v>
      </c>
      <c r="L116" s="89"/>
      <c r="M116" s="172"/>
      <c r="N116" s="98"/>
      <c r="O116" s="215"/>
      <c r="P116" s="440" t="s">
        <v>67</v>
      </c>
      <c r="Q116" s="484"/>
      <c r="R116" s="485"/>
      <c r="S116" s="252" t="s">
        <v>16</v>
      </c>
      <c r="T116" s="164">
        <f>354282+261860</f>
        <v>616142</v>
      </c>
      <c r="U116" s="165">
        <v>599263</v>
      </c>
      <c r="V116" s="22">
        <f t="shared" si="14"/>
        <v>16879</v>
      </c>
      <c r="W116" s="11">
        <f t="shared" si="17"/>
        <v>2.8166264227893265</v>
      </c>
      <c r="X116" s="16">
        <f>SUM(T116/T110*100)</f>
        <v>19.058598488902472</v>
      </c>
    </row>
    <row r="117" spans="1:24" s="3" customFormat="1" ht="15" customHeight="1" thickBot="1">
      <c r="A117" s="238"/>
      <c r="B117" s="239"/>
      <c r="C117" s="486" t="s">
        <v>13</v>
      </c>
      <c r="D117" s="471"/>
      <c r="E117" s="471"/>
      <c r="F117" s="487"/>
      <c r="G117" s="166">
        <f>11233+6582+2293+1463</f>
        <v>21571</v>
      </c>
      <c r="H117" s="167">
        <v>15878.07</v>
      </c>
      <c r="I117" s="138">
        <f t="shared" si="12"/>
        <v>5692.93</v>
      </c>
      <c r="J117" s="163">
        <f t="shared" si="16"/>
        <v>35.85404271425935</v>
      </c>
      <c r="K117" s="86">
        <f>SUM(G117/G110*100)</f>
        <v>43.68279297705595</v>
      </c>
      <c r="L117" s="89"/>
      <c r="M117" s="172"/>
      <c r="N117" s="238"/>
      <c r="O117" s="239"/>
      <c r="P117" s="486" t="s">
        <v>13</v>
      </c>
      <c r="Q117" s="471"/>
      <c r="R117" s="471"/>
      <c r="S117" s="487"/>
      <c r="T117" s="166">
        <f>380548+432749+135902+222611</f>
        <v>1171810</v>
      </c>
      <c r="U117" s="168">
        <v>1043542</v>
      </c>
      <c r="V117" s="78">
        <f t="shared" si="14"/>
        <v>128268</v>
      </c>
      <c r="W117" s="19">
        <f t="shared" si="17"/>
        <v>12.29159918814959</v>
      </c>
      <c r="X117" s="86">
        <f>SUM(T117/T110*100)</f>
        <v>36.24660596953431</v>
      </c>
    </row>
    <row r="118" spans="1:24" s="3" customFormat="1" ht="25.5" customHeight="1" thickTop="1">
      <c r="A118" s="488" t="s">
        <v>31</v>
      </c>
      <c r="B118" s="373" t="s">
        <v>3</v>
      </c>
      <c r="C118" s="374"/>
      <c r="D118" s="375"/>
      <c r="E118" s="376"/>
      <c r="F118" s="377"/>
      <c r="G118" s="115">
        <v>181</v>
      </c>
      <c r="H118" s="110">
        <v>473</v>
      </c>
      <c r="I118" s="31">
        <f t="shared" si="12"/>
        <v>-292</v>
      </c>
      <c r="J118" s="37">
        <f t="shared" si="16"/>
        <v>-61.733615221987314</v>
      </c>
      <c r="K118" s="77">
        <f>SUM(G118/G118*100)</f>
        <v>100</v>
      </c>
      <c r="L118" s="89"/>
      <c r="M118" s="172"/>
      <c r="N118" s="488" t="s">
        <v>31</v>
      </c>
      <c r="O118" s="373" t="s">
        <v>3</v>
      </c>
      <c r="P118" s="374"/>
      <c r="Q118" s="375"/>
      <c r="R118" s="376"/>
      <c r="S118" s="377"/>
      <c r="T118" s="139">
        <v>34001</v>
      </c>
      <c r="U118" s="140">
        <v>87284</v>
      </c>
      <c r="V118" s="141">
        <f t="shared" si="14"/>
        <v>-53283</v>
      </c>
      <c r="W118" s="74">
        <f t="shared" si="17"/>
        <v>-61.045552449475274</v>
      </c>
      <c r="X118" s="28">
        <f>SUM(T118/T118*100)</f>
        <v>100</v>
      </c>
    </row>
    <row r="119" spans="1:24" s="3" customFormat="1" ht="15" customHeight="1">
      <c r="A119" s="489"/>
      <c r="B119" s="215"/>
      <c r="C119" s="437" t="s">
        <v>144</v>
      </c>
      <c r="D119" s="438"/>
      <c r="E119" s="438"/>
      <c r="F119" s="439"/>
      <c r="G119" s="39">
        <v>7</v>
      </c>
      <c r="H119" s="17">
        <v>11</v>
      </c>
      <c r="I119" s="18">
        <f t="shared" si="12"/>
        <v>-4</v>
      </c>
      <c r="J119" s="11">
        <f t="shared" si="16"/>
        <v>-36.36363636363637</v>
      </c>
      <c r="K119" s="16">
        <f>SUM(G119/G118*100)</f>
        <v>3.867403314917127</v>
      </c>
      <c r="L119" s="89"/>
      <c r="M119" s="172"/>
      <c r="N119" s="489"/>
      <c r="O119" s="215"/>
      <c r="P119" s="437" t="s">
        <v>144</v>
      </c>
      <c r="Q119" s="438"/>
      <c r="R119" s="438"/>
      <c r="S119" s="439"/>
      <c r="T119" s="20">
        <v>1028</v>
      </c>
      <c r="U119" s="25">
        <v>1257</v>
      </c>
      <c r="V119" s="22">
        <f t="shared" si="14"/>
        <v>-229</v>
      </c>
      <c r="W119" s="11">
        <f t="shared" si="17"/>
        <v>-18.217979315831343</v>
      </c>
      <c r="X119" s="16">
        <f>SUM(T119/T118*100)</f>
        <v>3.023440487044499</v>
      </c>
    </row>
    <row r="120" spans="1:24" s="3" customFormat="1" ht="15" customHeight="1">
      <c r="A120" s="342"/>
      <c r="B120" s="215"/>
      <c r="C120" s="437" t="s">
        <v>24</v>
      </c>
      <c r="D120" s="438"/>
      <c r="E120" s="438"/>
      <c r="F120" s="439"/>
      <c r="G120" s="39">
        <v>48</v>
      </c>
      <c r="H120" s="17">
        <v>152</v>
      </c>
      <c r="I120" s="18">
        <f>SUM(G120-H120)</f>
        <v>-104</v>
      </c>
      <c r="J120" s="11">
        <f>SUM(G120/H120*100)-100</f>
        <v>-68.42105263157895</v>
      </c>
      <c r="K120" s="16">
        <f>SUM(G120/G118*100)</f>
        <v>26.519337016574585</v>
      </c>
      <c r="L120" s="89"/>
      <c r="M120" s="172"/>
      <c r="N120" s="342"/>
      <c r="O120" s="215"/>
      <c r="P120" s="437" t="s">
        <v>24</v>
      </c>
      <c r="Q120" s="438"/>
      <c r="R120" s="438"/>
      <c r="S120" s="439"/>
      <c r="T120" s="20">
        <f>492+6236</f>
        <v>6728</v>
      </c>
      <c r="U120" s="25">
        <f>26014-1257</f>
        <v>24757</v>
      </c>
      <c r="V120" s="22">
        <f>SUM(T120-U120)</f>
        <v>-18029</v>
      </c>
      <c r="W120" s="11">
        <f>SUM(T120/U120*100)-100</f>
        <v>-72.82384780062205</v>
      </c>
      <c r="X120" s="16">
        <f>SUM(T120/T118*100)</f>
        <v>19.787653304314578</v>
      </c>
    </row>
    <row r="121" spans="1:24" s="3" customFormat="1" ht="15" customHeight="1">
      <c r="A121" s="240" t="s">
        <v>5</v>
      </c>
      <c r="B121" s="215"/>
      <c r="C121" s="437" t="s">
        <v>64</v>
      </c>
      <c r="D121" s="438"/>
      <c r="E121" s="438"/>
      <c r="F121" s="439"/>
      <c r="G121" s="41">
        <v>38</v>
      </c>
      <c r="H121" s="40">
        <v>133</v>
      </c>
      <c r="I121" s="18">
        <f t="shared" si="12"/>
        <v>-95</v>
      </c>
      <c r="J121" s="11">
        <f t="shared" si="16"/>
        <v>-71.42857142857143</v>
      </c>
      <c r="K121" s="16">
        <f>SUM(G121/G118*100)</f>
        <v>20.994475138121548</v>
      </c>
      <c r="L121" s="89"/>
      <c r="M121" s="172"/>
      <c r="N121" s="240" t="s">
        <v>5</v>
      </c>
      <c r="O121" s="215"/>
      <c r="P121" s="437" t="s">
        <v>64</v>
      </c>
      <c r="Q121" s="438"/>
      <c r="R121" s="438"/>
      <c r="S121" s="439"/>
      <c r="T121" s="24">
        <v>8197</v>
      </c>
      <c r="U121" s="25">
        <v>24391</v>
      </c>
      <c r="V121" s="22">
        <f t="shared" si="14"/>
        <v>-16194</v>
      </c>
      <c r="W121" s="11">
        <f t="shared" si="17"/>
        <v>-66.39334180640401</v>
      </c>
      <c r="X121" s="16">
        <f>SUM(T121/T118*100)</f>
        <v>24.108114467221554</v>
      </c>
    </row>
    <row r="122" spans="1:24" s="3" customFormat="1" ht="15" customHeight="1">
      <c r="A122" s="98"/>
      <c r="B122" s="215"/>
      <c r="C122" s="437" t="s">
        <v>68</v>
      </c>
      <c r="D122" s="438"/>
      <c r="E122" s="438"/>
      <c r="F122" s="439"/>
      <c r="G122" s="41">
        <v>32</v>
      </c>
      <c r="H122" s="40">
        <v>88</v>
      </c>
      <c r="I122" s="18">
        <f>SUM(G122-H122)</f>
        <v>-56</v>
      </c>
      <c r="J122" s="11">
        <f>SUM(G122/H122*100)-100</f>
        <v>-63.63636363636363</v>
      </c>
      <c r="K122" s="16">
        <f>SUM(G122/G118*100)</f>
        <v>17.67955801104972</v>
      </c>
      <c r="L122" s="89"/>
      <c r="M122" s="172"/>
      <c r="N122" s="98"/>
      <c r="O122" s="215"/>
      <c r="P122" s="437" t="s">
        <v>68</v>
      </c>
      <c r="Q122" s="438"/>
      <c r="R122" s="438"/>
      <c r="S122" s="439"/>
      <c r="T122" s="24">
        <v>7023</v>
      </c>
      <c r="U122" s="25">
        <v>17494</v>
      </c>
      <c r="V122" s="22">
        <f>SUM(T122-U122)</f>
        <v>-10471</v>
      </c>
      <c r="W122" s="11">
        <f>SUM(T122/U122*100)-100</f>
        <v>-59.85480736252429</v>
      </c>
      <c r="X122" s="16">
        <f>SUM(T122/T118*100)</f>
        <v>20.655274844857505</v>
      </c>
    </row>
    <row r="123" spans="1:24" s="3" customFormat="1" ht="15" customHeight="1">
      <c r="A123" s="98"/>
      <c r="B123" s="215"/>
      <c r="C123" s="437" t="s">
        <v>69</v>
      </c>
      <c r="D123" s="438"/>
      <c r="E123" s="438"/>
      <c r="F123" s="439"/>
      <c r="G123" s="39">
        <v>14</v>
      </c>
      <c r="H123" s="17">
        <v>29</v>
      </c>
      <c r="I123" s="18">
        <f>SUM(G123-H123)</f>
        <v>-15</v>
      </c>
      <c r="J123" s="11">
        <f>SUM(G123/H123*100)-100</f>
        <v>-51.724137931034484</v>
      </c>
      <c r="K123" s="16">
        <f>SUM(G123/G118*100)</f>
        <v>7.734806629834254</v>
      </c>
      <c r="L123" s="89"/>
      <c r="M123" s="172"/>
      <c r="N123" s="98"/>
      <c r="O123" s="215"/>
      <c r="P123" s="437" t="s">
        <v>69</v>
      </c>
      <c r="Q123" s="438"/>
      <c r="R123" s="438"/>
      <c r="S123" s="439"/>
      <c r="T123" s="20">
        <v>3191</v>
      </c>
      <c r="U123" s="21">
        <v>6832</v>
      </c>
      <c r="V123" s="22">
        <f>SUM(T123-U123)</f>
        <v>-3641</v>
      </c>
      <c r="W123" s="11">
        <f>SUM(T123/U123*100)-100</f>
        <v>-53.29332552693209</v>
      </c>
      <c r="X123" s="16">
        <f>SUM(T123/T118*100)</f>
        <v>9.385018087703303</v>
      </c>
    </row>
    <row r="124" spans="1:24" s="3" customFormat="1" ht="15" customHeight="1">
      <c r="A124" s="98"/>
      <c r="B124" s="215"/>
      <c r="C124" s="437" t="s">
        <v>142</v>
      </c>
      <c r="D124" s="438"/>
      <c r="E124" s="438"/>
      <c r="F124" s="439"/>
      <c r="G124" s="39">
        <v>13</v>
      </c>
      <c r="H124" s="17">
        <v>23</v>
      </c>
      <c r="I124" s="18">
        <f>SUM(G124-H124)</f>
        <v>-10</v>
      </c>
      <c r="J124" s="11">
        <f>SUM(G124/H124*100)-100</f>
        <v>-43.47826086956522</v>
      </c>
      <c r="K124" s="16">
        <f>SUM(G124/G118*100)</f>
        <v>7.18232044198895</v>
      </c>
      <c r="L124" s="89"/>
      <c r="M124" s="172"/>
      <c r="N124" s="98"/>
      <c r="O124" s="215"/>
      <c r="P124" s="437" t="s">
        <v>142</v>
      </c>
      <c r="Q124" s="438"/>
      <c r="R124" s="438"/>
      <c r="S124" s="439"/>
      <c r="T124" s="20">
        <v>2854</v>
      </c>
      <c r="U124" s="21">
        <v>5361</v>
      </c>
      <c r="V124" s="22">
        <f>SUM(T124-U124)</f>
        <v>-2507</v>
      </c>
      <c r="W124" s="11">
        <f>SUM(T124/U124*100)-100</f>
        <v>-46.76366349561649</v>
      </c>
      <c r="X124" s="16">
        <f>SUM(T124/T118*100)</f>
        <v>8.393870768506808</v>
      </c>
    </row>
    <row r="125" spans="1:24" s="3" customFormat="1" ht="15" customHeight="1">
      <c r="A125" s="98"/>
      <c r="B125" s="215"/>
      <c r="C125" s="437" t="s">
        <v>143</v>
      </c>
      <c r="D125" s="438"/>
      <c r="E125" s="438"/>
      <c r="F125" s="439"/>
      <c r="G125" s="39">
        <v>12</v>
      </c>
      <c r="H125" s="17">
        <v>18</v>
      </c>
      <c r="I125" s="18">
        <f>SUM(G125-H125)</f>
        <v>-6</v>
      </c>
      <c r="J125" s="11">
        <f>SUM(G125/H125*100)-100</f>
        <v>-33.33333333333334</v>
      </c>
      <c r="K125" s="16">
        <f>SUM(G125/G118*100)</f>
        <v>6.629834254143646</v>
      </c>
      <c r="L125" s="89"/>
      <c r="M125" s="172"/>
      <c r="N125" s="98"/>
      <c r="O125" s="215"/>
      <c r="P125" s="437" t="s">
        <v>143</v>
      </c>
      <c r="Q125" s="438"/>
      <c r="R125" s="438"/>
      <c r="S125" s="439"/>
      <c r="T125" s="20">
        <v>2151</v>
      </c>
      <c r="U125" s="21">
        <v>3572</v>
      </c>
      <c r="V125" s="22">
        <f>SUM(T125-U125)</f>
        <v>-1421</v>
      </c>
      <c r="W125" s="11">
        <f>SUM(T125/U125*100)-100</f>
        <v>-39.78163493840985</v>
      </c>
      <c r="X125" s="16">
        <f>SUM(T125/T118*100)</f>
        <v>6.326284521043498</v>
      </c>
    </row>
    <row r="126" spans="1:24" s="3" customFormat="1" ht="15" customHeight="1" thickBot="1">
      <c r="A126" s="98"/>
      <c r="B126" s="215"/>
      <c r="C126" s="437" t="s">
        <v>71</v>
      </c>
      <c r="D126" s="438"/>
      <c r="E126" s="438"/>
      <c r="F126" s="439"/>
      <c r="G126" s="39">
        <v>17</v>
      </c>
      <c r="H126" s="17">
        <v>19</v>
      </c>
      <c r="I126" s="18">
        <f>SUM(G126-H126)</f>
        <v>-2</v>
      </c>
      <c r="J126" s="11">
        <f>SUM(G126/H126*100)-100</f>
        <v>-10.526315789473685</v>
      </c>
      <c r="K126" s="16">
        <f>SUM(G126/G118*100)</f>
        <v>9.392265193370166</v>
      </c>
      <c r="L126" s="89"/>
      <c r="M126" s="172"/>
      <c r="N126" s="98"/>
      <c r="O126" s="215"/>
      <c r="P126" s="437" t="s">
        <v>71</v>
      </c>
      <c r="Q126" s="438"/>
      <c r="R126" s="438"/>
      <c r="S126" s="439"/>
      <c r="T126" s="20">
        <f>2054+351+424</f>
        <v>2829</v>
      </c>
      <c r="U126" s="21">
        <v>3620</v>
      </c>
      <c r="V126" s="22">
        <f>SUM(T126-U126)</f>
        <v>-791</v>
      </c>
      <c r="W126" s="11">
        <f>SUM(T126/U126*100)-100</f>
        <v>-21.850828729281773</v>
      </c>
      <c r="X126" s="16">
        <f>SUM(T126/T118*100)</f>
        <v>8.320343519308256</v>
      </c>
    </row>
    <row r="127" spans="1:24" s="3" customFormat="1" ht="25.5" customHeight="1" thickBot="1" thickTop="1">
      <c r="A127" s="212" t="s">
        <v>37</v>
      </c>
      <c r="B127" s="490" t="s">
        <v>38</v>
      </c>
      <c r="C127" s="491"/>
      <c r="D127" s="491"/>
      <c r="E127" s="491"/>
      <c r="F127" s="492"/>
      <c r="G127" s="212">
        <v>109326</v>
      </c>
      <c r="H127" s="213">
        <v>77147</v>
      </c>
      <c r="I127" s="142">
        <f t="shared" si="12"/>
        <v>32179</v>
      </c>
      <c r="J127" s="143">
        <f t="shared" si="16"/>
        <v>41.71127846837854</v>
      </c>
      <c r="K127" s="146" t="s">
        <v>87</v>
      </c>
      <c r="L127" s="171"/>
      <c r="M127" s="178"/>
      <c r="N127" s="212" t="s">
        <v>37</v>
      </c>
      <c r="O127" s="490" t="s">
        <v>38</v>
      </c>
      <c r="P127" s="491"/>
      <c r="Q127" s="491"/>
      <c r="R127" s="491"/>
      <c r="S127" s="492"/>
      <c r="T127" s="144">
        <v>20414409</v>
      </c>
      <c r="U127" s="145">
        <v>19888089</v>
      </c>
      <c r="V127" s="142">
        <f t="shared" si="14"/>
        <v>526320</v>
      </c>
      <c r="W127" s="143">
        <f t="shared" si="17"/>
        <v>2.6464081088937235</v>
      </c>
      <c r="X127" s="146" t="s">
        <v>87</v>
      </c>
    </row>
    <row r="128" spans="1:24" s="3" customFormat="1" ht="54" customHeight="1">
      <c r="A128" s="493" t="s">
        <v>128</v>
      </c>
      <c r="B128" s="494"/>
      <c r="C128" s="494"/>
      <c r="D128" s="494"/>
      <c r="E128" s="494"/>
      <c r="F128" s="494"/>
      <c r="G128" s="494"/>
      <c r="H128" s="494"/>
      <c r="I128" s="494"/>
      <c r="J128" s="494"/>
      <c r="K128" s="494"/>
      <c r="L128" s="171"/>
      <c r="M128" s="171"/>
      <c r="N128" s="493" t="s">
        <v>129</v>
      </c>
      <c r="O128" s="494"/>
      <c r="P128" s="494"/>
      <c r="Q128" s="494"/>
      <c r="R128" s="494"/>
      <c r="S128" s="494"/>
      <c r="T128" s="494"/>
      <c r="U128" s="494"/>
      <c r="V128" s="494"/>
      <c r="W128" s="494"/>
      <c r="X128" s="494"/>
    </row>
    <row r="129" spans="1:24" s="3" customFormat="1" ht="31.5" customHeight="1">
      <c r="A129" s="154" t="s">
        <v>40</v>
      </c>
      <c r="B129" s="154"/>
      <c r="C129" s="154"/>
      <c r="D129" s="154"/>
      <c r="E129" s="154"/>
      <c r="F129" s="154"/>
      <c r="G129" s="154"/>
      <c r="H129" s="154"/>
      <c r="I129" s="154"/>
      <c r="J129" s="154"/>
      <c r="K129" s="154"/>
      <c r="L129" s="171"/>
      <c r="M129" s="171"/>
      <c r="N129" s="154" t="s">
        <v>40</v>
      </c>
      <c r="O129" s="154"/>
      <c r="P129" s="154"/>
      <c r="Q129" s="154"/>
      <c r="R129" s="154"/>
      <c r="S129" s="154"/>
      <c r="T129" s="154"/>
      <c r="U129" s="154"/>
      <c r="V129" s="154"/>
      <c r="W129" s="154"/>
      <c r="X129" s="154"/>
    </row>
  </sheetData>
  <sheetProtection/>
  <mergeCells count="178">
    <mergeCell ref="D56:F56"/>
    <mergeCell ref="Q56:S56"/>
    <mergeCell ref="A128:K128"/>
    <mergeCell ref="N128:X128"/>
    <mergeCell ref="C22:F22"/>
    <mergeCell ref="P22:S22"/>
    <mergeCell ref="C124:F124"/>
    <mergeCell ref="P124:S124"/>
    <mergeCell ref="C126:F126"/>
    <mergeCell ref="P126:S126"/>
    <mergeCell ref="C120:F120"/>
    <mergeCell ref="P120:S120"/>
    <mergeCell ref="B127:F127"/>
    <mergeCell ref="O127:S127"/>
    <mergeCell ref="C121:F121"/>
    <mergeCell ref="P121:S121"/>
    <mergeCell ref="C122:F122"/>
    <mergeCell ref="P122:S122"/>
    <mergeCell ref="C123:F123"/>
    <mergeCell ref="P123:S123"/>
    <mergeCell ref="C125:F125"/>
    <mergeCell ref="P125:S125"/>
    <mergeCell ref="A118:A119"/>
    <mergeCell ref="B118:F118"/>
    <mergeCell ref="N118:N119"/>
    <mergeCell ref="O118:S118"/>
    <mergeCell ref="C119:F119"/>
    <mergeCell ref="P119:S119"/>
    <mergeCell ref="C115:D115"/>
    <mergeCell ref="P115:Q115"/>
    <mergeCell ref="C116:E116"/>
    <mergeCell ref="P116:R116"/>
    <mergeCell ref="C117:F117"/>
    <mergeCell ref="P117:S117"/>
    <mergeCell ref="C112:D112"/>
    <mergeCell ref="P112:Q112"/>
    <mergeCell ref="C113:D113"/>
    <mergeCell ref="P113:Q113"/>
    <mergeCell ref="C114:D114"/>
    <mergeCell ref="P114:Q114"/>
    <mergeCell ref="C108:F108"/>
    <mergeCell ref="P108:S108"/>
    <mergeCell ref="C109:F109"/>
    <mergeCell ref="P109:S109"/>
    <mergeCell ref="A110:A111"/>
    <mergeCell ref="B110:F110"/>
    <mergeCell ref="N110:N111"/>
    <mergeCell ref="O110:S110"/>
    <mergeCell ref="C111:F111"/>
    <mergeCell ref="P111:S111"/>
    <mergeCell ref="C103:F103"/>
    <mergeCell ref="P103:S103"/>
    <mergeCell ref="A104:A105"/>
    <mergeCell ref="B104:F104"/>
    <mergeCell ref="N104:N105"/>
    <mergeCell ref="O104:S104"/>
    <mergeCell ref="A91:F91"/>
    <mergeCell ref="N91:S91"/>
    <mergeCell ref="A92:A93"/>
    <mergeCell ref="B92:F92"/>
    <mergeCell ref="N92:N93"/>
    <mergeCell ref="O92:S92"/>
    <mergeCell ref="A85:K85"/>
    <mergeCell ref="N85:X85"/>
    <mergeCell ref="A87:K87"/>
    <mergeCell ref="N87:X87"/>
    <mergeCell ref="A89:F90"/>
    <mergeCell ref="G89:K89"/>
    <mergeCell ref="N89:S90"/>
    <mergeCell ref="T89:X89"/>
    <mergeCell ref="B78:F78"/>
    <mergeCell ref="O78:S78"/>
    <mergeCell ref="A82:A83"/>
    <mergeCell ref="B82:F82"/>
    <mergeCell ref="N82:N83"/>
    <mergeCell ref="O82:S82"/>
    <mergeCell ref="B74:F74"/>
    <mergeCell ref="O74:S74"/>
    <mergeCell ref="B75:B77"/>
    <mergeCell ref="C75:F75"/>
    <mergeCell ref="O75:O77"/>
    <mergeCell ref="P75:S75"/>
    <mergeCell ref="C76:F76"/>
    <mergeCell ref="P76:S76"/>
    <mergeCell ref="C77:F77"/>
    <mergeCell ref="P77:S77"/>
    <mergeCell ref="C69:D69"/>
    <mergeCell ref="P69:Q69"/>
    <mergeCell ref="C73:F73"/>
    <mergeCell ref="P73:S73"/>
    <mergeCell ref="C70:F70"/>
    <mergeCell ref="P70:S70"/>
    <mergeCell ref="C66:D66"/>
    <mergeCell ref="P66:Q66"/>
    <mergeCell ref="C67:D67"/>
    <mergeCell ref="P67:Q67"/>
    <mergeCell ref="C68:D68"/>
    <mergeCell ref="P68:Q68"/>
    <mergeCell ref="A62:A65"/>
    <mergeCell ref="B62:F62"/>
    <mergeCell ref="N62:N65"/>
    <mergeCell ref="O62:S62"/>
    <mergeCell ref="C63:F63"/>
    <mergeCell ref="P63:S63"/>
    <mergeCell ref="C64:F64"/>
    <mergeCell ref="P64:S64"/>
    <mergeCell ref="C65:D65"/>
    <mergeCell ref="P65:Q65"/>
    <mergeCell ref="A49:F49"/>
    <mergeCell ref="N49:S49"/>
    <mergeCell ref="B50:F50"/>
    <mergeCell ref="O50:S50"/>
    <mergeCell ref="A50:A52"/>
    <mergeCell ref="N50:N52"/>
    <mergeCell ref="A45:K45"/>
    <mergeCell ref="N45:X45"/>
    <mergeCell ref="A47:F48"/>
    <mergeCell ref="G47:K47"/>
    <mergeCell ref="N47:S48"/>
    <mergeCell ref="T47:X47"/>
    <mergeCell ref="C40:F40"/>
    <mergeCell ref="P40:S40"/>
    <mergeCell ref="C41:F41"/>
    <mergeCell ref="P41:S41"/>
    <mergeCell ref="C42:F42"/>
    <mergeCell ref="P42:S42"/>
    <mergeCell ref="C37:F37"/>
    <mergeCell ref="P37:S37"/>
    <mergeCell ref="C38:F38"/>
    <mergeCell ref="P38:S38"/>
    <mergeCell ref="C39:F39"/>
    <mergeCell ref="P39:S39"/>
    <mergeCell ref="C34:F34"/>
    <mergeCell ref="P34:S34"/>
    <mergeCell ref="A35:A36"/>
    <mergeCell ref="B35:F35"/>
    <mergeCell ref="N35:N36"/>
    <mergeCell ref="O35:S35"/>
    <mergeCell ref="B36:B42"/>
    <mergeCell ref="C36:F36"/>
    <mergeCell ref="O36:O42"/>
    <mergeCell ref="P36:S36"/>
    <mergeCell ref="C31:F31"/>
    <mergeCell ref="P31:S31"/>
    <mergeCell ref="C32:F32"/>
    <mergeCell ref="P32:S32"/>
    <mergeCell ref="C33:F33"/>
    <mergeCell ref="P33:S33"/>
    <mergeCell ref="A28:A29"/>
    <mergeCell ref="B28:F28"/>
    <mergeCell ref="N28:N29"/>
    <mergeCell ref="O28:S28"/>
    <mergeCell ref="B29:B34"/>
    <mergeCell ref="C29:F29"/>
    <mergeCell ref="O29:O34"/>
    <mergeCell ref="P29:S29"/>
    <mergeCell ref="C30:F30"/>
    <mergeCell ref="P30:S30"/>
    <mergeCell ref="C26:F26"/>
    <mergeCell ref="P26:S26"/>
    <mergeCell ref="C27:F27"/>
    <mergeCell ref="P27:S27"/>
    <mergeCell ref="A5:F5"/>
    <mergeCell ref="N5:S5"/>
    <mergeCell ref="B6:F6"/>
    <mergeCell ref="O6:S6"/>
    <mergeCell ref="A16:A18"/>
    <mergeCell ref="B16:F16"/>
    <mergeCell ref="N16:N18"/>
    <mergeCell ref="O16:S16"/>
    <mergeCell ref="C17:F17"/>
    <mergeCell ref="P17:S17"/>
    <mergeCell ref="A1:K1"/>
    <mergeCell ref="N1:X1"/>
    <mergeCell ref="A3:F4"/>
    <mergeCell ref="G3:K3"/>
    <mergeCell ref="N3:S4"/>
    <mergeCell ref="T3:X3"/>
  </mergeCells>
  <printOptions/>
  <pageMargins left="0.7086614173228347" right="0.7086614173228347" top="0.7480314960629921" bottom="0.7480314960629921" header="0.31496062992125984" footer="0.31496062992125984"/>
  <pageSetup horizontalDpi="600" verticalDpi="600" orientation="portrait" pageOrder="overThenDown" paperSize="9" scale="73" r:id="rId3"/>
  <rowBreaks count="2" manualBreakCount="2">
    <brk id="44" max="255" man="1"/>
    <brk id="86" max="255" man="1"/>
  </rowBreaks>
  <colBreaks count="1" manualBreakCount="1">
    <brk id="12" max="65535" man="1"/>
  </colBreaks>
  <legacyDrawing r:id="rId2"/>
</worksheet>
</file>

<file path=xl/worksheets/sheet2.xml><?xml version="1.0" encoding="utf-8"?>
<worksheet xmlns="http://schemas.openxmlformats.org/spreadsheetml/2006/main" xmlns:r="http://schemas.openxmlformats.org/officeDocument/2006/relationships">
  <dimension ref="A1:X118"/>
  <sheetViews>
    <sheetView view="pageBreakPreview" zoomScaleSheetLayoutView="100" zoomScalePageLayoutView="0" workbookViewId="0" topLeftCell="A10">
      <selection activeCell="F23" sqref="F23"/>
    </sheetView>
  </sheetViews>
  <sheetFormatPr defaultColWidth="9.00390625" defaultRowHeight="19.5" customHeight="1"/>
  <cols>
    <col min="1" max="1" width="17.625" style="161" customWidth="1"/>
    <col min="2" max="2" width="3.125" style="161" customWidth="1"/>
    <col min="3" max="3" width="2.125" style="161" customWidth="1"/>
    <col min="4" max="4" width="2.50390625" style="161" customWidth="1"/>
    <col min="5" max="5" width="2.25390625" style="161" customWidth="1"/>
    <col min="6" max="6" width="14.875" style="161" customWidth="1"/>
    <col min="7" max="8" width="14.625" style="161" customWidth="1"/>
    <col min="9" max="11" width="12.625" style="161" customWidth="1"/>
    <col min="12" max="12" width="0.875" style="161" customWidth="1"/>
    <col min="13" max="13" width="1.00390625" style="161" customWidth="1"/>
    <col min="14" max="14" width="17.625" style="161" customWidth="1"/>
    <col min="15" max="15" width="3.125" style="161" customWidth="1"/>
    <col min="16" max="16" width="2.00390625" style="161" customWidth="1"/>
    <col min="17" max="17" width="2.50390625" style="161" customWidth="1"/>
    <col min="18" max="18" width="2.25390625" style="161" customWidth="1"/>
    <col min="19" max="19" width="14.875" style="161" customWidth="1"/>
    <col min="20" max="21" width="14.625" style="161" customWidth="1"/>
    <col min="22" max="24" width="12.625" style="161" customWidth="1"/>
    <col min="25" max="25" width="1.00390625" style="1" hidden="1" customWidth="1"/>
    <col min="26" max="27" width="9.00390625" style="1" customWidth="1"/>
    <col min="28" max="28" width="3.75390625" style="1" customWidth="1"/>
    <col min="29" max="30" width="9.00390625" style="1" customWidth="1"/>
    <col min="31" max="31" width="4.00390625" style="1" customWidth="1"/>
    <col min="32" max="16384" width="9.00390625" style="1" customWidth="1"/>
  </cols>
  <sheetData>
    <row r="1" spans="1:24" s="2" customFormat="1" ht="30" customHeight="1">
      <c r="A1" s="381" t="s">
        <v>93</v>
      </c>
      <c r="B1" s="382"/>
      <c r="C1" s="382"/>
      <c r="D1" s="382"/>
      <c r="E1" s="382"/>
      <c r="F1" s="382"/>
      <c r="G1" s="382"/>
      <c r="H1" s="382"/>
      <c r="I1" s="382"/>
      <c r="J1" s="382"/>
      <c r="K1" s="382"/>
      <c r="L1" s="147"/>
      <c r="M1" s="147"/>
      <c r="N1" s="381" t="s">
        <v>94</v>
      </c>
      <c r="O1" s="382"/>
      <c r="P1" s="382"/>
      <c r="Q1" s="382"/>
      <c r="R1" s="382"/>
      <c r="S1" s="382"/>
      <c r="T1" s="382"/>
      <c r="U1" s="382"/>
      <c r="V1" s="382"/>
      <c r="W1" s="382"/>
      <c r="X1" s="382"/>
    </row>
    <row r="2" spans="1:24" s="2" customFormat="1" ht="27" customHeight="1" thickBot="1">
      <c r="A2" s="196"/>
      <c r="B2" s="196"/>
      <c r="C2" s="196"/>
      <c r="D2" s="196"/>
      <c r="E2" s="196"/>
      <c r="F2" s="196"/>
      <c r="G2" s="148"/>
      <c r="H2" s="148"/>
      <c r="I2" s="148"/>
      <c r="J2" s="148"/>
      <c r="K2" s="293">
        <f>+X2</f>
        <v>44313</v>
      </c>
      <c r="L2" s="149"/>
      <c r="M2" s="148"/>
      <c r="N2" s="148"/>
      <c r="O2" s="148"/>
      <c r="P2" s="148"/>
      <c r="Q2" s="148"/>
      <c r="R2" s="148"/>
      <c r="S2" s="148"/>
      <c r="T2" s="148"/>
      <c r="U2" s="148"/>
      <c r="V2" s="150"/>
      <c r="W2" s="150"/>
      <c r="X2" s="292">
        <v>44313</v>
      </c>
    </row>
    <row r="3" spans="1:24" s="3" customFormat="1" ht="19.5" customHeight="1">
      <c r="A3" s="383" t="s">
        <v>86</v>
      </c>
      <c r="B3" s="384"/>
      <c r="C3" s="384"/>
      <c r="D3" s="384"/>
      <c r="E3" s="384"/>
      <c r="F3" s="384"/>
      <c r="G3" s="387" t="s">
        <v>65</v>
      </c>
      <c r="H3" s="388"/>
      <c r="I3" s="388"/>
      <c r="J3" s="388"/>
      <c r="K3" s="388"/>
      <c r="L3" s="175"/>
      <c r="M3" s="173"/>
      <c r="N3" s="383" t="s">
        <v>86</v>
      </c>
      <c r="O3" s="384"/>
      <c r="P3" s="384"/>
      <c r="Q3" s="384"/>
      <c r="R3" s="384"/>
      <c r="S3" s="384"/>
      <c r="T3" s="387" t="s">
        <v>72</v>
      </c>
      <c r="U3" s="388"/>
      <c r="V3" s="388"/>
      <c r="W3" s="388"/>
      <c r="X3" s="389"/>
    </row>
    <row r="4" spans="1:24" s="3" customFormat="1" ht="19.5" customHeight="1">
      <c r="A4" s="385"/>
      <c r="B4" s="386"/>
      <c r="C4" s="386"/>
      <c r="D4" s="386"/>
      <c r="E4" s="386"/>
      <c r="F4" s="386"/>
      <c r="G4" s="92" t="s">
        <v>95</v>
      </c>
      <c r="H4" s="93" t="s">
        <v>96</v>
      </c>
      <c r="I4" s="94" t="s">
        <v>21</v>
      </c>
      <c r="J4" s="94" t="s">
        <v>12</v>
      </c>
      <c r="K4" s="94" t="s">
        <v>39</v>
      </c>
      <c r="L4" s="176"/>
      <c r="M4" s="174"/>
      <c r="N4" s="385"/>
      <c r="O4" s="386"/>
      <c r="P4" s="386"/>
      <c r="Q4" s="386"/>
      <c r="R4" s="386"/>
      <c r="S4" s="386"/>
      <c r="T4" s="92" t="str">
        <f>+G4</f>
        <v>令2（今回）</v>
      </c>
      <c r="U4" s="94" t="str">
        <f>+H4</f>
        <v>平27（前回）</v>
      </c>
      <c r="V4" s="94" t="s">
        <v>21</v>
      </c>
      <c r="W4" s="151" t="s">
        <v>12</v>
      </c>
      <c r="X4" s="152" t="s">
        <v>39</v>
      </c>
    </row>
    <row r="5" spans="1:24" s="3" customFormat="1" ht="24.75" customHeight="1" thickBot="1">
      <c r="A5" s="396" t="s">
        <v>79</v>
      </c>
      <c r="B5" s="397"/>
      <c r="C5" s="397"/>
      <c r="D5" s="397"/>
      <c r="E5" s="397"/>
      <c r="F5" s="398"/>
      <c r="G5" s="95" t="s">
        <v>47</v>
      </c>
      <c r="H5" s="96" t="s">
        <v>48</v>
      </c>
      <c r="I5" s="97" t="s">
        <v>49</v>
      </c>
      <c r="J5" s="97" t="s">
        <v>50</v>
      </c>
      <c r="K5" s="97" t="s">
        <v>51</v>
      </c>
      <c r="L5" s="176"/>
      <c r="M5" s="174"/>
      <c r="N5" s="396" t="s">
        <v>79</v>
      </c>
      <c r="O5" s="397"/>
      <c r="P5" s="397"/>
      <c r="Q5" s="397"/>
      <c r="R5" s="397"/>
      <c r="S5" s="398"/>
      <c r="T5" s="95" t="s">
        <v>52</v>
      </c>
      <c r="U5" s="97" t="s">
        <v>53</v>
      </c>
      <c r="V5" s="97" t="s">
        <v>54</v>
      </c>
      <c r="W5" s="97" t="s">
        <v>55</v>
      </c>
      <c r="X5" s="153" t="s">
        <v>51</v>
      </c>
    </row>
    <row r="6" spans="1:24" s="3" customFormat="1" ht="25.5" customHeight="1" thickTop="1">
      <c r="A6" s="214" t="s">
        <v>1</v>
      </c>
      <c r="B6" s="399" t="s">
        <v>0</v>
      </c>
      <c r="C6" s="400"/>
      <c r="D6" s="400"/>
      <c r="E6" s="400"/>
      <c r="F6" s="401"/>
      <c r="G6" s="294">
        <v>12474</v>
      </c>
      <c r="H6" s="295">
        <v>17979</v>
      </c>
      <c r="I6" s="4">
        <f aca="true" t="shared" si="0" ref="I6:I38">SUM(G6-H6)</f>
        <v>-5505</v>
      </c>
      <c r="J6" s="5">
        <f aca="true" t="shared" si="1" ref="J6:J38">SUM(G6/H6*100)-100</f>
        <v>-30.61905556482563</v>
      </c>
      <c r="K6" s="6">
        <f>SUM(G6/G6*100)</f>
        <v>100</v>
      </c>
      <c r="L6" s="177"/>
      <c r="M6" s="172"/>
      <c r="N6" s="214" t="s">
        <v>1</v>
      </c>
      <c r="O6" s="399" t="s">
        <v>0</v>
      </c>
      <c r="P6" s="400"/>
      <c r="Q6" s="400"/>
      <c r="R6" s="400"/>
      <c r="S6" s="401"/>
      <c r="T6" s="7">
        <v>1092250</v>
      </c>
      <c r="U6" s="197">
        <v>1404488</v>
      </c>
      <c r="V6" s="8">
        <f aca="true" t="shared" si="2" ref="V6:V38">SUM(T6-U6)</f>
        <v>-312238</v>
      </c>
      <c r="W6" s="5">
        <f aca="true" t="shared" si="3" ref="W6:W38">SUM(T6/U6*100)-100</f>
        <v>-22.231446619693443</v>
      </c>
      <c r="X6" s="9">
        <f>SUM(T6/T6*100)</f>
        <v>100</v>
      </c>
    </row>
    <row r="7" spans="1:24" s="3" customFormat="1" ht="25.5" customHeight="1">
      <c r="A7" s="62" t="s">
        <v>5</v>
      </c>
      <c r="B7" s="296"/>
      <c r="C7" s="297" t="s">
        <v>19</v>
      </c>
      <c r="D7" s="298"/>
      <c r="E7" s="298"/>
      <c r="F7" s="299"/>
      <c r="G7" s="300">
        <v>12356</v>
      </c>
      <c r="H7" s="301">
        <v>17759</v>
      </c>
      <c r="I7" s="10">
        <f t="shared" si="0"/>
        <v>-5403</v>
      </c>
      <c r="J7" s="200">
        <f t="shared" si="1"/>
        <v>-30.42401036094374</v>
      </c>
      <c r="K7" s="11">
        <f>SUM(G7/G6*100)</f>
        <v>99.05403238736572</v>
      </c>
      <c r="L7" s="177"/>
      <c r="M7" s="172"/>
      <c r="N7" s="62" t="s">
        <v>5</v>
      </c>
      <c r="O7" s="296"/>
      <c r="P7" s="297" t="s">
        <v>19</v>
      </c>
      <c r="Q7" s="298"/>
      <c r="R7" s="298"/>
      <c r="S7" s="299"/>
      <c r="T7" s="12">
        <v>1075705</v>
      </c>
      <c r="U7" s="13">
        <v>1377266</v>
      </c>
      <c r="V7" s="14">
        <f t="shared" si="2"/>
        <v>-301561</v>
      </c>
      <c r="W7" s="15">
        <f t="shared" si="3"/>
        <v>-21.89562510074306</v>
      </c>
      <c r="X7" s="16">
        <f>SUM(T7/T6*100)</f>
        <v>98.48523689631494</v>
      </c>
    </row>
    <row r="8" spans="1:24" s="3" customFormat="1" ht="25.5" customHeight="1">
      <c r="A8" s="62"/>
      <c r="B8" s="296"/>
      <c r="C8" s="302"/>
      <c r="D8" s="303" t="s">
        <v>97</v>
      </c>
      <c r="E8" s="298"/>
      <c r="F8" s="299"/>
      <c r="G8" s="300">
        <v>11331</v>
      </c>
      <c r="H8" s="301">
        <v>16778</v>
      </c>
      <c r="I8" s="18">
        <f t="shared" si="0"/>
        <v>-5447</v>
      </c>
      <c r="J8" s="19">
        <f t="shared" si="1"/>
        <v>-32.465132912146856</v>
      </c>
      <c r="K8" s="11">
        <f>SUM(G8/G6*100)</f>
        <v>90.83694083694084</v>
      </c>
      <c r="L8" s="177"/>
      <c r="M8" s="172"/>
      <c r="N8" s="62"/>
      <c r="O8" s="296"/>
      <c r="P8" s="302"/>
      <c r="Q8" s="303" t="s">
        <v>97</v>
      </c>
      <c r="R8" s="298"/>
      <c r="S8" s="299"/>
      <c r="T8" s="20">
        <v>1037342</v>
      </c>
      <c r="U8" s="21">
        <v>1339964</v>
      </c>
      <c r="V8" s="22">
        <f t="shared" si="2"/>
        <v>-302622</v>
      </c>
      <c r="W8" s="11">
        <f t="shared" si="3"/>
        <v>-22.58433808669487</v>
      </c>
      <c r="X8" s="16">
        <f>SUM(T8/T6*100)</f>
        <v>94.97294575417716</v>
      </c>
    </row>
    <row r="9" spans="1:24" s="3" customFormat="1" ht="25.5" customHeight="1">
      <c r="A9" s="62"/>
      <c r="B9" s="296"/>
      <c r="C9" s="302"/>
      <c r="D9" s="303" t="s">
        <v>98</v>
      </c>
      <c r="E9" s="298"/>
      <c r="F9" s="299"/>
      <c r="G9" s="300">
        <v>1025</v>
      </c>
      <c r="H9" s="301">
        <v>981</v>
      </c>
      <c r="I9" s="23">
        <f t="shared" si="0"/>
        <v>44</v>
      </c>
      <c r="J9" s="19">
        <f t="shared" si="1"/>
        <v>4.485219164118234</v>
      </c>
      <c r="K9" s="11">
        <f>SUM(G9/G6*100)</f>
        <v>8.217091550424884</v>
      </c>
      <c r="L9" s="177"/>
      <c r="M9" s="172"/>
      <c r="N9" s="62"/>
      <c r="O9" s="296"/>
      <c r="P9" s="302"/>
      <c r="Q9" s="303" t="s">
        <v>98</v>
      </c>
      <c r="R9" s="298"/>
      <c r="S9" s="299"/>
      <c r="T9" s="24">
        <v>38363</v>
      </c>
      <c r="U9" s="25">
        <v>37302</v>
      </c>
      <c r="V9" s="22">
        <f t="shared" si="2"/>
        <v>1061</v>
      </c>
      <c r="W9" s="11">
        <f t="shared" si="3"/>
        <v>2.8443515093024416</v>
      </c>
      <c r="X9" s="16">
        <f>SUM(T9/T6*100)</f>
        <v>3.512291142137789</v>
      </c>
    </row>
    <row r="10" spans="1:24" s="3" customFormat="1" ht="25.5" customHeight="1">
      <c r="A10" s="62"/>
      <c r="B10" s="296"/>
      <c r="C10" s="304"/>
      <c r="D10" s="305"/>
      <c r="E10" s="303" t="s">
        <v>99</v>
      </c>
      <c r="F10" s="299"/>
      <c r="G10" s="306">
        <v>760</v>
      </c>
      <c r="H10" s="307">
        <v>591</v>
      </c>
      <c r="I10" s="18">
        <f t="shared" si="0"/>
        <v>169</v>
      </c>
      <c r="J10" s="19">
        <f t="shared" si="1"/>
        <v>28.595600676818947</v>
      </c>
      <c r="K10" s="11">
        <f>SUM(G10/G6*100)</f>
        <v>6.092672759339425</v>
      </c>
      <c r="L10" s="177"/>
      <c r="M10" s="172"/>
      <c r="N10" s="62"/>
      <c r="O10" s="296"/>
      <c r="P10" s="304"/>
      <c r="Q10" s="305"/>
      <c r="R10" s="303" t="s">
        <v>99</v>
      </c>
      <c r="S10" s="299"/>
      <c r="T10" s="20">
        <v>30707</v>
      </c>
      <c r="U10" s="21">
        <v>27101</v>
      </c>
      <c r="V10" s="22">
        <f t="shared" si="2"/>
        <v>3606</v>
      </c>
      <c r="W10" s="11">
        <f t="shared" si="3"/>
        <v>13.3057820744622</v>
      </c>
      <c r="X10" s="16">
        <f>SUM(T10/T6*100)</f>
        <v>2.811352712291142</v>
      </c>
    </row>
    <row r="11" spans="1:24" s="3" customFormat="1" ht="25.5" customHeight="1">
      <c r="A11" s="62"/>
      <c r="B11" s="296"/>
      <c r="C11" s="305"/>
      <c r="D11" s="305"/>
      <c r="E11" s="305"/>
      <c r="F11" s="308" t="s">
        <v>22</v>
      </c>
      <c r="G11" s="306">
        <v>497</v>
      </c>
      <c r="H11" s="307">
        <v>358</v>
      </c>
      <c r="I11" s="18">
        <f t="shared" si="0"/>
        <v>139</v>
      </c>
      <c r="J11" s="19">
        <f t="shared" si="1"/>
        <v>38.82681564245809</v>
      </c>
      <c r="K11" s="11">
        <f>SUM(G11/G6*100)</f>
        <v>3.984287317620651</v>
      </c>
      <c r="L11" s="177"/>
      <c r="M11" s="172"/>
      <c r="N11" s="62"/>
      <c r="O11" s="296"/>
      <c r="P11" s="305"/>
      <c r="Q11" s="305"/>
      <c r="R11" s="305"/>
      <c r="S11" s="308" t="s">
        <v>22</v>
      </c>
      <c r="T11" s="20">
        <v>7329</v>
      </c>
      <c r="U11" s="21">
        <v>6199</v>
      </c>
      <c r="V11" s="22">
        <f t="shared" si="2"/>
        <v>1130</v>
      </c>
      <c r="W11" s="11">
        <f t="shared" si="3"/>
        <v>18.22874657202776</v>
      </c>
      <c r="X11" s="16">
        <f>SUM(T11/T6*100)</f>
        <v>0.6710002288853285</v>
      </c>
    </row>
    <row r="12" spans="1:24" s="3" customFormat="1" ht="25.5" customHeight="1">
      <c r="A12" s="62"/>
      <c r="B12" s="296"/>
      <c r="C12" s="304"/>
      <c r="D12" s="305"/>
      <c r="E12" s="305"/>
      <c r="F12" s="308" t="s">
        <v>100</v>
      </c>
      <c r="G12" s="306">
        <v>207</v>
      </c>
      <c r="H12" s="307">
        <v>151</v>
      </c>
      <c r="I12" s="18">
        <f t="shared" si="0"/>
        <v>56</v>
      </c>
      <c r="J12" s="19">
        <f t="shared" si="1"/>
        <v>37.086092715231786</v>
      </c>
      <c r="K12" s="11">
        <f>SUM(G12/G7*100)</f>
        <v>1.6752994496600842</v>
      </c>
      <c r="L12" s="177"/>
      <c r="M12" s="172"/>
      <c r="N12" s="62"/>
      <c r="O12" s="296"/>
      <c r="P12" s="304"/>
      <c r="Q12" s="305"/>
      <c r="R12" s="305"/>
      <c r="S12" s="308" t="s">
        <v>100</v>
      </c>
      <c r="T12" s="20">
        <v>19977</v>
      </c>
      <c r="U12" s="21">
        <v>16573</v>
      </c>
      <c r="V12" s="22">
        <f t="shared" si="2"/>
        <v>3404</v>
      </c>
      <c r="W12" s="11">
        <f t="shared" si="3"/>
        <v>20.53943160562362</v>
      </c>
      <c r="X12" s="16">
        <f>SUM(T12/T7*100)</f>
        <v>1.8571076642759865</v>
      </c>
    </row>
    <row r="13" spans="1:24" s="3" customFormat="1" ht="25.5" customHeight="1">
      <c r="A13" s="62"/>
      <c r="B13" s="296"/>
      <c r="C13" s="304"/>
      <c r="D13" s="305"/>
      <c r="E13" s="309"/>
      <c r="F13" s="310" t="s">
        <v>101</v>
      </c>
      <c r="G13" s="306">
        <v>56</v>
      </c>
      <c r="H13" s="307">
        <v>82</v>
      </c>
      <c r="I13" s="18">
        <f t="shared" si="0"/>
        <v>-26</v>
      </c>
      <c r="J13" s="19">
        <f t="shared" si="1"/>
        <v>-31.707317073170728</v>
      </c>
      <c r="K13" s="11">
        <f>SUM(G13/G6*100)</f>
        <v>0.44893378226711567</v>
      </c>
      <c r="L13" s="177"/>
      <c r="M13" s="172"/>
      <c r="N13" s="62"/>
      <c r="O13" s="296"/>
      <c r="P13" s="304"/>
      <c r="Q13" s="305"/>
      <c r="R13" s="309"/>
      <c r="S13" s="310" t="s">
        <v>101</v>
      </c>
      <c r="T13" s="20">
        <v>3401</v>
      </c>
      <c r="U13" s="21">
        <v>4329</v>
      </c>
      <c r="V13" s="22">
        <f t="shared" si="2"/>
        <v>-928</v>
      </c>
      <c r="W13" s="11">
        <f t="shared" si="3"/>
        <v>-21.436821436821447</v>
      </c>
      <c r="X13" s="16">
        <f>SUM(T13/T6*100)</f>
        <v>0.3113756008239872</v>
      </c>
    </row>
    <row r="14" spans="1:24" s="3" customFormat="1" ht="25.5" customHeight="1">
      <c r="A14" s="62"/>
      <c r="B14" s="296"/>
      <c r="C14" s="297" t="s">
        <v>20</v>
      </c>
      <c r="D14" s="311"/>
      <c r="E14" s="311"/>
      <c r="F14" s="312"/>
      <c r="G14" s="300">
        <v>181</v>
      </c>
      <c r="H14" s="301">
        <v>473</v>
      </c>
      <c r="I14" s="10">
        <f t="shared" si="0"/>
        <v>-292</v>
      </c>
      <c r="J14" s="200">
        <f t="shared" si="1"/>
        <v>-61.733615221987314</v>
      </c>
      <c r="K14" s="11">
        <f>SUM(G14/G6*100)</f>
        <v>1.4510181176847845</v>
      </c>
      <c r="L14" s="177"/>
      <c r="M14" s="172"/>
      <c r="N14" s="62"/>
      <c r="O14" s="296"/>
      <c r="P14" s="297" t="s">
        <v>20</v>
      </c>
      <c r="Q14" s="311"/>
      <c r="R14" s="311"/>
      <c r="S14" s="312"/>
      <c r="T14" s="12">
        <v>34001</v>
      </c>
      <c r="U14" s="13">
        <v>87284</v>
      </c>
      <c r="V14" s="14">
        <f t="shared" si="2"/>
        <v>-53283</v>
      </c>
      <c r="W14" s="15">
        <f t="shared" si="3"/>
        <v>-61.045552449475274</v>
      </c>
      <c r="X14" s="16">
        <f>SUM(T14/T6*100)</f>
        <v>3.1129320210574503</v>
      </c>
    </row>
    <row r="15" spans="1:24" s="3" customFormat="1" ht="25.5" customHeight="1" thickBot="1">
      <c r="A15" s="220"/>
      <c r="B15" s="313"/>
      <c r="C15" s="314"/>
      <c r="D15" s="315"/>
      <c r="E15" s="315" t="s">
        <v>99</v>
      </c>
      <c r="F15" s="316"/>
      <c r="G15" s="317">
        <v>29</v>
      </c>
      <c r="H15" s="318">
        <v>38</v>
      </c>
      <c r="I15" s="26">
        <f t="shared" si="0"/>
        <v>-9</v>
      </c>
      <c r="J15" s="19">
        <f t="shared" si="1"/>
        <v>-23.68421052631578</v>
      </c>
      <c r="K15" s="27">
        <f>SUM(G15/G6*100)</f>
        <v>0.23248356581689913</v>
      </c>
      <c r="L15" s="177"/>
      <c r="M15" s="172"/>
      <c r="N15" s="220"/>
      <c r="O15" s="313"/>
      <c r="P15" s="314"/>
      <c r="Q15" s="315"/>
      <c r="R15" s="315" t="s">
        <v>99</v>
      </c>
      <c r="S15" s="316"/>
      <c r="T15" s="20">
        <v>4093</v>
      </c>
      <c r="U15" s="21">
        <v>5599</v>
      </c>
      <c r="V15" s="43">
        <f t="shared" si="2"/>
        <v>-1506</v>
      </c>
      <c r="W15" s="27">
        <f t="shared" si="3"/>
        <v>-26.89766029648152</v>
      </c>
      <c r="X15" s="28">
        <f>SUM(T15/T6*100)</f>
        <v>0.3747310597390707</v>
      </c>
    </row>
    <row r="16" spans="1:24" s="3" customFormat="1" ht="25.5" customHeight="1" thickTop="1">
      <c r="A16" s="370" t="s">
        <v>73</v>
      </c>
      <c r="B16" s="373" t="s">
        <v>3</v>
      </c>
      <c r="C16" s="374"/>
      <c r="D16" s="375"/>
      <c r="E16" s="376"/>
      <c r="F16" s="377"/>
      <c r="G16" s="29">
        <v>12356</v>
      </c>
      <c r="H16" s="30">
        <v>17759</v>
      </c>
      <c r="I16" s="31">
        <f t="shared" si="0"/>
        <v>-5403</v>
      </c>
      <c r="J16" s="32">
        <f t="shared" si="1"/>
        <v>-30.42401036094374</v>
      </c>
      <c r="K16" s="33">
        <f>SUM(G16/G16*100)</f>
        <v>100</v>
      </c>
      <c r="L16" s="177"/>
      <c r="M16" s="172"/>
      <c r="N16" s="370" t="s">
        <v>73</v>
      </c>
      <c r="O16" s="373" t="s">
        <v>3</v>
      </c>
      <c r="P16" s="374"/>
      <c r="Q16" s="375"/>
      <c r="R16" s="376"/>
      <c r="S16" s="377"/>
      <c r="T16" s="34">
        <v>1075705</v>
      </c>
      <c r="U16" s="35">
        <v>1377266</v>
      </c>
      <c r="V16" s="36">
        <f t="shared" si="2"/>
        <v>-301561</v>
      </c>
      <c r="W16" s="37">
        <f t="shared" si="3"/>
        <v>-21.89562510074306</v>
      </c>
      <c r="X16" s="38">
        <f>SUM(T16/T16*100)</f>
        <v>100</v>
      </c>
    </row>
    <row r="17" spans="1:24" s="3" customFormat="1" ht="15" customHeight="1">
      <c r="A17" s="371"/>
      <c r="B17" s="215"/>
      <c r="C17" s="378" t="s">
        <v>4</v>
      </c>
      <c r="D17" s="379"/>
      <c r="E17" s="379"/>
      <c r="F17" s="380"/>
      <c r="G17" s="39">
        <v>3605</v>
      </c>
      <c r="H17" s="17">
        <v>6724</v>
      </c>
      <c r="I17" s="18">
        <f t="shared" si="0"/>
        <v>-3119</v>
      </c>
      <c r="J17" s="11">
        <f t="shared" si="1"/>
        <v>-46.38607971445568</v>
      </c>
      <c r="K17" s="11">
        <f>SUM(G17/G16*100)</f>
        <v>29.176108773065717</v>
      </c>
      <c r="L17" s="177"/>
      <c r="M17" s="172"/>
      <c r="N17" s="371"/>
      <c r="O17" s="215"/>
      <c r="P17" s="378" t="s">
        <v>4</v>
      </c>
      <c r="Q17" s="379"/>
      <c r="R17" s="379"/>
      <c r="S17" s="380"/>
      <c r="T17" s="20">
        <v>384617</v>
      </c>
      <c r="U17" s="21">
        <v>602391</v>
      </c>
      <c r="V17" s="22">
        <f t="shared" si="2"/>
        <v>-217774</v>
      </c>
      <c r="W17" s="11">
        <f t="shared" si="3"/>
        <v>-36.151602530582295</v>
      </c>
      <c r="X17" s="16">
        <f>SUM(T17/T16*100)</f>
        <v>35.754877034131106</v>
      </c>
    </row>
    <row r="18" spans="1:24" s="3" customFormat="1" ht="15" customHeight="1">
      <c r="A18" s="372"/>
      <c r="B18" s="215"/>
      <c r="C18" s="225" t="s">
        <v>6</v>
      </c>
      <c r="D18" s="226"/>
      <c r="E18" s="227"/>
      <c r="F18" s="228"/>
      <c r="G18" s="41">
        <v>3136</v>
      </c>
      <c r="H18" s="40">
        <v>4534</v>
      </c>
      <c r="I18" s="18">
        <f t="shared" si="0"/>
        <v>-1398</v>
      </c>
      <c r="J18" s="11">
        <f t="shared" si="1"/>
        <v>-30.83370092633436</v>
      </c>
      <c r="K18" s="11">
        <f>SUM(G18/G16*100)</f>
        <v>25.38038200064746</v>
      </c>
      <c r="L18" s="177"/>
      <c r="M18" s="172"/>
      <c r="N18" s="372"/>
      <c r="O18" s="215"/>
      <c r="P18" s="225" t="s">
        <v>6</v>
      </c>
      <c r="Q18" s="226"/>
      <c r="R18" s="227"/>
      <c r="S18" s="228"/>
      <c r="T18" s="24">
        <v>175832</v>
      </c>
      <c r="U18" s="25">
        <v>211374</v>
      </c>
      <c r="V18" s="22">
        <f t="shared" si="2"/>
        <v>-35542</v>
      </c>
      <c r="W18" s="11">
        <f t="shared" si="3"/>
        <v>-16.814745427536025</v>
      </c>
      <c r="X18" s="16">
        <f>SUM(T18/T16*100)</f>
        <v>16.345745348399422</v>
      </c>
    </row>
    <row r="19" spans="1:24" s="3" customFormat="1" ht="15" customHeight="1">
      <c r="A19" s="62" t="s">
        <v>82</v>
      </c>
      <c r="B19" s="215"/>
      <c r="C19" s="225" t="s">
        <v>7</v>
      </c>
      <c r="D19" s="226"/>
      <c r="E19" s="227"/>
      <c r="F19" s="228"/>
      <c r="G19" s="41">
        <v>4097</v>
      </c>
      <c r="H19" s="40">
        <v>5011</v>
      </c>
      <c r="I19" s="18">
        <f t="shared" si="0"/>
        <v>-914</v>
      </c>
      <c r="J19" s="11">
        <f t="shared" si="1"/>
        <v>-18.239872280981842</v>
      </c>
      <c r="K19" s="11">
        <f>SUM(G19/G16*100)</f>
        <v>33.15797992877954</v>
      </c>
      <c r="L19" s="177"/>
      <c r="M19" s="172"/>
      <c r="N19" s="62" t="s">
        <v>82</v>
      </c>
      <c r="O19" s="215"/>
      <c r="P19" s="225" t="s">
        <v>7</v>
      </c>
      <c r="Q19" s="226"/>
      <c r="R19" s="227"/>
      <c r="S19" s="228"/>
      <c r="T19" s="24">
        <v>296243</v>
      </c>
      <c r="U19" s="25">
        <v>340538</v>
      </c>
      <c r="V19" s="22">
        <f t="shared" si="2"/>
        <v>-44295</v>
      </c>
      <c r="W19" s="11">
        <f t="shared" si="3"/>
        <v>-13.007358943788944</v>
      </c>
      <c r="X19" s="16">
        <f>SUM(T19/T16*100)</f>
        <v>27.53942763118141</v>
      </c>
    </row>
    <row r="20" spans="1:24" s="3" customFormat="1" ht="15" customHeight="1">
      <c r="A20" s="98"/>
      <c r="B20" s="215"/>
      <c r="C20" s="222" t="s">
        <v>8</v>
      </c>
      <c r="D20" s="223"/>
      <c r="E20" s="229"/>
      <c r="F20" s="230"/>
      <c r="G20" s="39">
        <v>494</v>
      </c>
      <c r="H20" s="17">
        <v>536</v>
      </c>
      <c r="I20" s="26">
        <f t="shared" si="0"/>
        <v>-42</v>
      </c>
      <c r="J20" s="27">
        <f t="shared" si="1"/>
        <v>-7.835820895522389</v>
      </c>
      <c r="K20" s="42">
        <f>SUM(G20/G16*100)</f>
        <v>3.998057623826481</v>
      </c>
      <c r="L20" s="177"/>
      <c r="M20" s="172"/>
      <c r="N20" s="98"/>
      <c r="O20" s="215"/>
      <c r="P20" s="222" t="s">
        <v>8</v>
      </c>
      <c r="Q20" s="223"/>
      <c r="R20" s="229"/>
      <c r="S20" s="230"/>
      <c r="T20" s="20">
        <v>91764</v>
      </c>
      <c r="U20" s="21">
        <v>97416</v>
      </c>
      <c r="V20" s="43">
        <f t="shared" si="2"/>
        <v>-5652</v>
      </c>
      <c r="W20" s="27">
        <f t="shared" si="3"/>
        <v>-5.801921655580188</v>
      </c>
      <c r="X20" s="44">
        <f>SUM(T20/T16*100)</f>
        <v>8.530591565531441</v>
      </c>
    </row>
    <row r="21" spans="1:24" s="3" customFormat="1" ht="25.5" customHeight="1">
      <c r="A21" s="98"/>
      <c r="B21" s="215"/>
      <c r="C21" s="448" t="s">
        <v>11</v>
      </c>
      <c r="D21" s="449"/>
      <c r="E21" s="449"/>
      <c r="F21" s="450"/>
      <c r="G21" s="45">
        <f>SUM(G17:G20)</f>
        <v>11332</v>
      </c>
      <c r="H21" s="46">
        <f>SUM(H17:H20)</f>
        <v>16805</v>
      </c>
      <c r="I21" s="47">
        <f t="shared" si="0"/>
        <v>-5473</v>
      </c>
      <c r="J21" s="48">
        <f t="shared" si="1"/>
        <v>-32.567688188039284</v>
      </c>
      <c r="K21" s="49">
        <f>SUM(G21/G16*100)</f>
        <v>91.7125283263192</v>
      </c>
      <c r="L21" s="177"/>
      <c r="M21" s="172"/>
      <c r="N21" s="98"/>
      <c r="O21" s="215"/>
      <c r="P21" s="448" t="s">
        <v>11</v>
      </c>
      <c r="Q21" s="449"/>
      <c r="R21" s="449"/>
      <c r="S21" s="450"/>
      <c r="T21" s="50">
        <f>SUM(T17:T20)</f>
        <v>948456</v>
      </c>
      <c r="U21" s="51">
        <f>SUM(U17:U20)</f>
        <v>1251719</v>
      </c>
      <c r="V21" s="52">
        <f t="shared" si="2"/>
        <v>-303263</v>
      </c>
      <c r="W21" s="49">
        <f t="shared" si="3"/>
        <v>-24.227722036655194</v>
      </c>
      <c r="X21" s="53">
        <f>SUM(T21/T16*100)</f>
        <v>88.17064157924338</v>
      </c>
    </row>
    <row r="22" spans="1:24" s="3" customFormat="1" ht="15" customHeight="1">
      <c r="A22" s="98"/>
      <c r="B22" s="215"/>
      <c r="C22" s="231" t="s">
        <v>9</v>
      </c>
      <c r="D22" s="232"/>
      <c r="E22" s="233"/>
      <c r="F22" s="234"/>
      <c r="G22" s="54">
        <v>636</v>
      </c>
      <c r="H22" s="55">
        <v>673</v>
      </c>
      <c r="I22" s="26">
        <f t="shared" si="0"/>
        <v>-37</v>
      </c>
      <c r="J22" s="27">
        <f t="shared" si="1"/>
        <v>-5.497771173848449</v>
      </c>
      <c r="K22" s="6">
        <f>SUM(G22/G16*100)</f>
        <v>5.147296859825186</v>
      </c>
      <c r="L22" s="177"/>
      <c r="M22" s="172"/>
      <c r="N22" s="98"/>
      <c r="O22" s="215"/>
      <c r="P22" s="231" t="s">
        <v>9</v>
      </c>
      <c r="Q22" s="232"/>
      <c r="R22" s="233"/>
      <c r="S22" s="234"/>
      <c r="T22" s="56">
        <v>86145</v>
      </c>
      <c r="U22" s="57">
        <v>90201</v>
      </c>
      <c r="V22" s="43">
        <f t="shared" si="2"/>
        <v>-4056</v>
      </c>
      <c r="W22" s="27">
        <f t="shared" si="3"/>
        <v>-4.496624205940066</v>
      </c>
      <c r="X22" s="9">
        <f>SUM(T22/T16*100)</f>
        <v>8.008236458880456</v>
      </c>
    </row>
    <row r="23" spans="1:24" s="3" customFormat="1" ht="15" customHeight="1">
      <c r="A23" s="98"/>
      <c r="B23" s="215"/>
      <c r="C23" s="225" t="s">
        <v>10</v>
      </c>
      <c r="D23" s="226"/>
      <c r="E23" s="227"/>
      <c r="F23" s="228"/>
      <c r="G23" s="41">
        <v>235</v>
      </c>
      <c r="H23" s="40">
        <v>156</v>
      </c>
      <c r="I23" s="18">
        <f t="shared" si="0"/>
        <v>79</v>
      </c>
      <c r="J23" s="11">
        <f t="shared" si="1"/>
        <v>50.641025641025635</v>
      </c>
      <c r="K23" s="11">
        <f>SUM(G23/G16*100)</f>
        <v>1.9019100032372935</v>
      </c>
      <c r="L23" s="177"/>
      <c r="M23" s="172"/>
      <c r="N23" s="98"/>
      <c r="O23" s="215"/>
      <c r="P23" s="225" t="s">
        <v>10</v>
      </c>
      <c r="Q23" s="226"/>
      <c r="R23" s="227"/>
      <c r="S23" s="228"/>
      <c r="T23" s="58">
        <v>20122</v>
      </c>
      <c r="U23" s="59">
        <v>18346</v>
      </c>
      <c r="V23" s="22">
        <f t="shared" si="2"/>
        <v>1776</v>
      </c>
      <c r="W23" s="11">
        <f t="shared" si="3"/>
        <v>9.680584323558278</v>
      </c>
      <c r="X23" s="16">
        <f>SUM(T23/T16*100)</f>
        <v>1.8705871963038194</v>
      </c>
    </row>
    <row r="24" spans="1:24" s="3" customFormat="1" ht="15" customHeight="1">
      <c r="A24" s="98"/>
      <c r="B24" s="215"/>
      <c r="C24" s="225" t="s">
        <v>23</v>
      </c>
      <c r="D24" s="226"/>
      <c r="E24" s="227"/>
      <c r="F24" s="235"/>
      <c r="G24" s="41">
        <v>106</v>
      </c>
      <c r="H24" s="40">
        <v>98</v>
      </c>
      <c r="I24" s="18">
        <f t="shared" si="0"/>
        <v>8</v>
      </c>
      <c r="J24" s="11">
        <f t="shared" si="1"/>
        <v>8.163265306122454</v>
      </c>
      <c r="K24" s="11">
        <f>SUM(G24/G16*100)</f>
        <v>0.8578828099708644</v>
      </c>
      <c r="L24" s="177"/>
      <c r="M24" s="172"/>
      <c r="N24" s="98"/>
      <c r="O24" s="215"/>
      <c r="P24" s="225" t="s">
        <v>23</v>
      </c>
      <c r="Q24" s="226"/>
      <c r="R24" s="227"/>
      <c r="S24" s="235"/>
      <c r="T24" s="58">
        <v>13120</v>
      </c>
      <c r="U24" s="59">
        <v>10451</v>
      </c>
      <c r="V24" s="22">
        <f t="shared" si="2"/>
        <v>2669</v>
      </c>
      <c r="W24" s="11">
        <f t="shared" si="3"/>
        <v>25.538226007080667</v>
      </c>
      <c r="X24" s="16">
        <f>SUM(T24/T16*100)</f>
        <v>1.2196652427942605</v>
      </c>
    </row>
    <row r="25" spans="1:24" s="3" customFormat="1" ht="15" customHeight="1">
      <c r="A25" s="98"/>
      <c r="B25" s="215"/>
      <c r="C25" s="225" t="s">
        <v>102</v>
      </c>
      <c r="D25" s="291"/>
      <c r="E25" s="87"/>
      <c r="F25" s="319"/>
      <c r="G25" s="60">
        <v>40</v>
      </c>
      <c r="H25" s="61">
        <v>23</v>
      </c>
      <c r="I25" s="18">
        <f>SUM(G25-H25)</f>
        <v>17</v>
      </c>
      <c r="J25" s="11">
        <f>SUM(G25/H25*100)-100</f>
        <v>73.91304347826087</v>
      </c>
      <c r="K25" s="11">
        <f>SUM(G25/G17*100)</f>
        <v>1.1095700416088765</v>
      </c>
      <c r="L25" s="177"/>
      <c r="M25" s="172"/>
      <c r="N25" s="98"/>
      <c r="O25" s="215"/>
      <c r="P25" s="225" t="s">
        <v>104</v>
      </c>
      <c r="Q25" s="291"/>
      <c r="R25" s="87"/>
      <c r="S25" s="319"/>
      <c r="T25" s="62">
        <v>6536</v>
      </c>
      <c r="U25" s="63">
        <v>5618</v>
      </c>
      <c r="V25" s="22">
        <f>SUM(T25-U25)</f>
        <v>918</v>
      </c>
      <c r="W25" s="11">
        <f>SUM(T25/U25*100)-100</f>
        <v>16.340334638661446</v>
      </c>
      <c r="X25" s="16">
        <f>SUM(T25/T17*100)</f>
        <v>1.6993528627179768</v>
      </c>
    </row>
    <row r="26" spans="1:24" s="3" customFormat="1" ht="15" customHeight="1">
      <c r="A26" s="98"/>
      <c r="B26" s="215"/>
      <c r="C26" s="390" t="s">
        <v>103</v>
      </c>
      <c r="D26" s="391"/>
      <c r="E26" s="391"/>
      <c r="F26" s="392"/>
      <c r="G26" s="60">
        <v>7</v>
      </c>
      <c r="H26" s="61">
        <v>4</v>
      </c>
      <c r="I26" s="26">
        <f t="shared" si="0"/>
        <v>3</v>
      </c>
      <c r="J26" s="27">
        <f t="shared" si="1"/>
        <v>75</v>
      </c>
      <c r="K26" s="42">
        <f>SUM(G26/G16*100)</f>
        <v>0.05665263839430237</v>
      </c>
      <c r="L26" s="177"/>
      <c r="M26" s="172"/>
      <c r="N26" s="98"/>
      <c r="O26" s="215"/>
      <c r="P26" s="390" t="s">
        <v>103</v>
      </c>
      <c r="Q26" s="391"/>
      <c r="R26" s="391"/>
      <c r="S26" s="392"/>
      <c r="T26" s="62">
        <v>1326</v>
      </c>
      <c r="U26" s="63">
        <v>931</v>
      </c>
      <c r="V26" s="43">
        <f t="shared" si="2"/>
        <v>395</v>
      </c>
      <c r="W26" s="27">
        <f t="shared" si="3"/>
        <v>42.42749731471537</v>
      </c>
      <c r="X26" s="44">
        <f>SUM(T26/T16*100)</f>
        <v>0.12326799633728579</v>
      </c>
    </row>
    <row r="27" spans="1:24" s="3" customFormat="1" ht="25.5" customHeight="1" thickBot="1">
      <c r="A27" s="238"/>
      <c r="B27" s="239"/>
      <c r="C27" s="393" t="s">
        <v>11</v>
      </c>
      <c r="D27" s="394"/>
      <c r="E27" s="394"/>
      <c r="F27" s="395"/>
      <c r="G27" s="64">
        <f>SUM(G22:G26)</f>
        <v>1024</v>
      </c>
      <c r="H27" s="65">
        <f>SUM(H22:H26)</f>
        <v>954</v>
      </c>
      <c r="I27" s="66">
        <f t="shared" si="0"/>
        <v>70</v>
      </c>
      <c r="J27" s="67">
        <f t="shared" si="1"/>
        <v>7.337526205450743</v>
      </c>
      <c r="K27" s="6">
        <f>SUM(G27/G16*100)</f>
        <v>8.287471673680804</v>
      </c>
      <c r="L27" s="177"/>
      <c r="M27" s="172"/>
      <c r="N27" s="238"/>
      <c r="O27" s="239"/>
      <c r="P27" s="393" t="s">
        <v>11</v>
      </c>
      <c r="Q27" s="394"/>
      <c r="R27" s="394"/>
      <c r="S27" s="395"/>
      <c r="T27" s="68">
        <f>SUM(T22:T26)</f>
        <v>127249</v>
      </c>
      <c r="U27" s="69">
        <f>SUM(U22:U26)</f>
        <v>125547</v>
      </c>
      <c r="V27" s="70">
        <f t="shared" si="2"/>
        <v>1702</v>
      </c>
      <c r="W27" s="71">
        <f t="shared" si="3"/>
        <v>1.3556675985885818</v>
      </c>
      <c r="X27" s="9">
        <f>SUM(T27/T16*100)</f>
        <v>11.829358420756622</v>
      </c>
    </row>
    <row r="28" spans="1:24" s="3" customFormat="1" ht="25.5" customHeight="1" thickTop="1">
      <c r="A28" s="402" t="s">
        <v>105</v>
      </c>
      <c r="B28" s="404" t="s">
        <v>106</v>
      </c>
      <c r="C28" s="405"/>
      <c r="D28" s="405"/>
      <c r="E28" s="405"/>
      <c r="F28" s="406"/>
      <c r="G28" s="29">
        <v>11851</v>
      </c>
      <c r="H28" s="72">
        <v>17102</v>
      </c>
      <c r="I28" s="4">
        <f t="shared" si="0"/>
        <v>-5251</v>
      </c>
      <c r="J28" s="73">
        <f t="shared" si="1"/>
        <v>-30.704011226757103</v>
      </c>
      <c r="K28" s="74">
        <f>SUM(G28/G28*100)</f>
        <v>100</v>
      </c>
      <c r="L28" s="177"/>
      <c r="M28" s="172"/>
      <c r="N28" s="402" t="s">
        <v>105</v>
      </c>
      <c r="O28" s="404" t="s">
        <v>106</v>
      </c>
      <c r="P28" s="405"/>
      <c r="Q28" s="405"/>
      <c r="R28" s="405"/>
      <c r="S28" s="406"/>
      <c r="T28" s="75">
        <v>978210</v>
      </c>
      <c r="U28" s="76">
        <v>1245232</v>
      </c>
      <c r="V28" s="8">
        <f t="shared" si="2"/>
        <v>-267022</v>
      </c>
      <c r="W28" s="5">
        <f t="shared" si="3"/>
        <v>-21.443554293497115</v>
      </c>
      <c r="X28" s="77">
        <f>SUM(T28/T28*100)</f>
        <v>100</v>
      </c>
    </row>
    <row r="29" spans="1:24" s="3" customFormat="1" ht="25.5" customHeight="1">
      <c r="A29" s="403"/>
      <c r="B29" s="407"/>
      <c r="C29" s="410" t="s">
        <v>107</v>
      </c>
      <c r="D29" s="411"/>
      <c r="E29" s="411"/>
      <c r="F29" s="412"/>
      <c r="G29" s="39">
        <v>10674</v>
      </c>
      <c r="H29" s="17">
        <v>15825</v>
      </c>
      <c r="I29" s="18">
        <f t="shared" si="0"/>
        <v>-5151</v>
      </c>
      <c r="J29" s="11">
        <f t="shared" si="1"/>
        <v>-32.54976303317537</v>
      </c>
      <c r="K29" s="11">
        <f>SUM(G29/G28*100)</f>
        <v>90.06834866256013</v>
      </c>
      <c r="L29" s="177"/>
      <c r="M29" s="172"/>
      <c r="N29" s="403"/>
      <c r="O29" s="407"/>
      <c r="P29" s="410" t="s">
        <v>107</v>
      </c>
      <c r="Q29" s="411"/>
      <c r="R29" s="411"/>
      <c r="S29" s="412"/>
      <c r="T29" s="20">
        <v>542860</v>
      </c>
      <c r="U29" s="21">
        <v>714870</v>
      </c>
      <c r="V29" s="22">
        <f t="shared" si="2"/>
        <v>-172010</v>
      </c>
      <c r="W29" s="11">
        <f t="shared" si="3"/>
        <v>-24.061717515072672</v>
      </c>
      <c r="X29" s="16">
        <f>SUM(T29/T28*100)</f>
        <v>55.49524130810358</v>
      </c>
    </row>
    <row r="30" spans="1:24" s="3" customFormat="1" ht="25.5" customHeight="1">
      <c r="A30" s="240" t="s">
        <v>5</v>
      </c>
      <c r="B30" s="407"/>
      <c r="C30" s="413" t="s">
        <v>108</v>
      </c>
      <c r="D30" s="414"/>
      <c r="E30" s="414"/>
      <c r="F30" s="415"/>
      <c r="G30" s="39">
        <v>254</v>
      </c>
      <c r="H30" s="17">
        <v>311</v>
      </c>
      <c r="I30" s="18">
        <f t="shared" si="0"/>
        <v>-57</v>
      </c>
      <c r="J30" s="11">
        <f t="shared" si="1"/>
        <v>-18.32797427652733</v>
      </c>
      <c r="K30" s="11">
        <f>SUM(G30/G28*100)</f>
        <v>2.1432790481815878</v>
      </c>
      <c r="L30" s="177"/>
      <c r="M30" s="172"/>
      <c r="N30" s="240" t="s">
        <v>5</v>
      </c>
      <c r="O30" s="407"/>
      <c r="P30" s="413" t="s">
        <v>108</v>
      </c>
      <c r="Q30" s="414"/>
      <c r="R30" s="414"/>
      <c r="S30" s="415"/>
      <c r="T30" s="20">
        <v>104183</v>
      </c>
      <c r="U30" s="21">
        <v>131307</v>
      </c>
      <c r="V30" s="22">
        <f t="shared" si="2"/>
        <v>-27124</v>
      </c>
      <c r="W30" s="11">
        <f t="shared" si="3"/>
        <v>-20.656933750675904</v>
      </c>
      <c r="X30" s="16">
        <f>SUM(T30/T28*100)</f>
        <v>10.650371597100827</v>
      </c>
    </row>
    <row r="31" spans="1:24" s="3" customFormat="1" ht="25.5" customHeight="1">
      <c r="A31" s="240"/>
      <c r="B31" s="407"/>
      <c r="C31" s="413" t="s">
        <v>109</v>
      </c>
      <c r="D31" s="414"/>
      <c r="E31" s="414"/>
      <c r="F31" s="415"/>
      <c r="G31" s="41">
        <v>76</v>
      </c>
      <c r="H31" s="40">
        <v>70</v>
      </c>
      <c r="I31" s="18">
        <f t="shared" si="0"/>
        <v>6</v>
      </c>
      <c r="J31" s="11">
        <f t="shared" si="1"/>
        <v>8.57142857142857</v>
      </c>
      <c r="K31" s="11">
        <f>SUM(G31/G28*100)</f>
        <v>0.6412960931566956</v>
      </c>
      <c r="L31" s="177"/>
      <c r="M31" s="172"/>
      <c r="N31" s="240"/>
      <c r="O31" s="407"/>
      <c r="P31" s="413" t="s">
        <v>109</v>
      </c>
      <c r="Q31" s="414"/>
      <c r="R31" s="414"/>
      <c r="S31" s="415"/>
      <c r="T31" s="24">
        <v>60971</v>
      </c>
      <c r="U31" s="25">
        <v>71093</v>
      </c>
      <c r="V31" s="22">
        <f t="shared" si="2"/>
        <v>-10122</v>
      </c>
      <c r="W31" s="11">
        <f t="shared" si="3"/>
        <v>-14.237688661330921</v>
      </c>
      <c r="X31" s="16">
        <f>SUM(T31/T28*100)</f>
        <v>6.232915222702692</v>
      </c>
    </row>
    <row r="32" spans="1:24" s="3" customFormat="1" ht="25.5" customHeight="1">
      <c r="A32" s="240"/>
      <c r="B32" s="407"/>
      <c r="C32" s="416" t="s">
        <v>110</v>
      </c>
      <c r="D32" s="417"/>
      <c r="E32" s="417"/>
      <c r="F32" s="418"/>
      <c r="G32" s="39">
        <v>466</v>
      </c>
      <c r="H32" s="17">
        <v>489</v>
      </c>
      <c r="I32" s="18">
        <f t="shared" si="0"/>
        <v>-23</v>
      </c>
      <c r="J32" s="11">
        <f t="shared" si="1"/>
        <v>-4.703476482617589</v>
      </c>
      <c r="K32" s="11">
        <f>SUM(G32/G28*100)</f>
        <v>3.9321576238292124</v>
      </c>
      <c r="L32" s="177"/>
      <c r="M32" s="172"/>
      <c r="N32" s="240"/>
      <c r="O32" s="407"/>
      <c r="P32" s="416" t="s">
        <v>110</v>
      </c>
      <c r="Q32" s="417"/>
      <c r="R32" s="417"/>
      <c r="S32" s="418"/>
      <c r="T32" s="20">
        <v>128652</v>
      </c>
      <c r="U32" s="21">
        <v>152949</v>
      </c>
      <c r="V32" s="78">
        <f t="shared" si="2"/>
        <v>-24297</v>
      </c>
      <c r="W32" s="19">
        <f t="shared" si="3"/>
        <v>-15.885687385991403</v>
      </c>
      <c r="X32" s="16">
        <f>SUM(T32/T28*100)</f>
        <v>13.151777225749072</v>
      </c>
    </row>
    <row r="33" spans="1:24" s="3" customFormat="1" ht="25.5" customHeight="1">
      <c r="A33" s="240"/>
      <c r="B33" s="408"/>
      <c r="C33" s="413" t="s">
        <v>111</v>
      </c>
      <c r="D33" s="414"/>
      <c r="E33" s="414"/>
      <c r="F33" s="415"/>
      <c r="G33" s="39">
        <v>80</v>
      </c>
      <c r="H33" s="17">
        <v>104</v>
      </c>
      <c r="I33" s="18">
        <f t="shared" si="0"/>
        <v>-24</v>
      </c>
      <c r="J33" s="11">
        <f t="shared" si="1"/>
        <v>-23.076923076923066</v>
      </c>
      <c r="K33" s="11">
        <f>SUM(G33/G28*100)</f>
        <v>0.6750485191123112</v>
      </c>
      <c r="L33" s="177"/>
      <c r="M33" s="172"/>
      <c r="N33" s="240"/>
      <c r="O33" s="408"/>
      <c r="P33" s="413" t="s">
        <v>111</v>
      </c>
      <c r="Q33" s="414"/>
      <c r="R33" s="414"/>
      <c r="S33" s="415"/>
      <c r="T33" s="20">
        <v>48511</v>
      </c>
      <c r="U33" s="21">
        <v>59034</v>
      </c>
      <c r="V33" s="78">
        <f t="shared" si="2"/>
        <v>-10523</v>
      </c>
      <c r="W33" s="19">
        <f t="shared" si="3"/>
        <v>-17.825321001456786</v>
      </c>
      <c r="X33" s="16">
        <f>SUM(T33/T28*100)</f>
        <v>4.959160098547347</v>
      </c>
    </row>
    <row r="34" spans="1:24" s="3" customFormat="1" ht="25.5" customHeight="1" thickBot="1">
      <c r="A34" s="238"/>
      <c r="B34" s="409"/>
      <c r="C34" s="419" t="s">
        <v>101</v>
      </c>
      <c r="D34" s="420"/>
      <c r="E34" s="420"/>
      <c r="F34" s="421"/>
      <c r="G34" s="79">
        <v>301</v>
      </c>
      <c r="H34" s="80">
        <v>303</v>
      </c>
      <c r="I34" s="81">
        <f t="shared" si="0"/>
        <v>-2</v>
      </c>
      <c r="J34" s="82">
        <f t="shared" si="1"/>
        <v>-0.6600660066006583</v>
      </c>
      <c r="K34" s="82">
        <f>SUM(G34/G28*100)</f>
        <v>2.5398700531600706</v>
      </c>
      <c r="L34" s="177"/>
      <c r="M34" s="172"/>
      <c r="N34" s="238"/>
      <c r="O34" s="409"/>
      <c r="P34" s="419" t="s">
        <v>101</v>
      </c>
      <c r="Q34" s="420"/>
      <c r="R34" s="420"/>
      <c r="S34" s="421"/>
      <c r="T34" s="83">
        <v>93033</v>
      </c>
      <c r="U34" s="84">
        <v>115979</v>
      </c>
      <c r="V34" s="85">
        <f t="shared" si="2"/>
        <v>-22946</v>
      </c>
      <c r="W34" s="82">
        <f t="shared" si="3"/>
        <v>-19.784616180515428</v>
      </c>
      <c r="X34" s="86">
        <f>SUM(T34/T28*100)</f>
        <v>9.510534547796485</v>
      </c>
    </row>
    <row r="35" spans="1:24" s="3" customFormat="1" ht="25.5" customHeight="1" thickTop="1">
      <c r="A35" s="422" t="s">
        <v>112</v>
      </c>
      <c r="B35" s="404" t="s">
        <v>106</v>
      </c>
      <c r="C35" s="405"/>
      <c r="D35" s="405"/>
      <c r="E35" s="405"/>
      <c r="F35" s="406"/>
      <c r="G35" s="29">
        <v>11851</v>
      </c>
      <c r="H35" s="72">
        <v>17102</v>
      </c>
      <c r="I35" s="4">
        <f t="shared" si="0"/>
        <v>-5251</v>
      </c>
      <c r="J35" s="73">
        <f t="shared" si="1"/>
        <v>-30.704011226757103</v>
      </c>
      <c r="K35" s="27">
        <f>SUM(G35/G35*100)</f>
        <v>100</v>
      </c>
      <c r="L35" s="177"/>
      <c r="M35" s="172"/>
      <c r="N35" s="422" t="s">
        <v>112</v>
      </c>
      <c r="O35" s="404" t="s">
        <v>106</v>
      </c>
      <c r="P35" s="405"/>
      <c r="Q35" s="405"/>
      <c r="R35" s="405"/>
      <c r="S35" s="406"/>
      <c r="T35" s="75">
        <v>978210</v>
      </c>
      <c r="U35" s="76">
        <v>1245232</v>
      </c>
      <c r="V35" s="8">
        <f t="shared" si="2"/>
        <v>-267022</v>
      </c>
      <c r="W35" s="5">
        <f t="shared" si="3"/>
        <v>-21.443554293497115</v>
      </c>
      <c r="X35" s="28">
        <f>SUM(T35/T35*100)</f>
        <v>100</v>
      </c>
    </row>
    <row r="36" spans="1:24" s="3" customFormat="1" ht="25.5" customHeight="1">
      <c r="A36" s="423"/>
      <c r="B36" s="407"/>
      <c r="C36" s="410" t="s">
        <v>113</v>
      </c>
      <c r="D36" s="411"/>
      <c r="E36" s="411"/>
      <c r="F36" s="412"/>
      <c r="G36" s="39">
        <v>10435</v>
      </c>
      <c r="H36" s="17">
        <v>15454</v>
      </c>
      <c r="I36" s="18">
        <f t="shared" si="0"/>
        <v>-5019</v>
      </c>
      <c r="J36" s="11">
        <f t="shared" si="1"/>
        <v>-32.47702860100945</v>
      </c>
      <c r="K36" s="11">
        <f>SUM(G36/G35*100)</f>
        <v>88.0516412117121</v>
      </c>
      <c r="L36" s="177"/>
      <c r="M36" s="172"/>
      <c r="N36" s="423"/>
      <c r="O36" s="407"/>
      <c r="P36" s="410" t="s">
        <v>113</v>
      </c>
      <c r="Q36" s="411"/>
      <c r="R36" s="411"/>
      <c r="S36" s="412"/>
      <c r="T36" s="20">
        <v>628783</v>
      </c>
      <c r="U36" s="21">
        <v>824001</v>
      </c>
      <c r="V36" s="22">
        <f t="shared" si="2"/>
        <v>-195218</v>
      </c>
      <c r="W36" s="11">
        <f t="shared" si="3"/>
        <v>-23.691476102577553</v>
      </c>
      <c r="X36" s="16">
        <f>SUM(T36/T35*100)</f>
        <v>64.2789380603347</v>
      </c>
    </row>
    <row r="37" spans="1:24" s="3" customFormat="1" ht="25.5" customHeight="1">
      <c r="A37" s="240" t="s">
        <v>5</v>
      </c>
      <c r="B37" s="407"/>
      <c r="C37" s="413" t="s">
        <v>114</v>
      </c>
      <c r="D37" s="414"/>
      <c r="E37" s="414"/>
      <c r="F37" s="415"/>
      <c r="G37" s="39">
        <v>277</v>
      </c>
      <c r="H37" s="17">
        <v>325</v>
      </c>
      <c r="I37" s="18">
        <f t="shared" si="0"/>
        <v>-48</v>
      </c>
      <c r="J37" s="11">
        <f t="shared" si="1"/>
        <v>-14.769230769230774</v>
      </c>
      <c r="K37" s="11">
        <f>SUM(G37/G35*100)</f>
        <v>2.3373554974263775</v>
      </c>
      <c r="L37" s="177"/>
      <c r="M37" s="172"/>
      <c r="N37" s="240" t="s">
        <v>5</v>
      </c>
      <c r="O37" s="407"/>
      <c r="P37" s="413" t="s">
        <v>114</v>
      </c>
      <c r="Q37" s="414"/>
      <c r="R37" s="414"/>
      <c r="S37" s="415"/>
      <c r="T37" s="20">
        <v>94861</v>
      </c>
      <c r="U37" s="21">
        <v>108287</v>
      </c>
      <c r="V37" s="22">
        <f t="shared" si="2"/>
        <v>-13426</v>
      </c>
      <c r="W37" s="11">
        <f t="shared" si="3"/>
        <v>-12.398533526646787</v>
      </c>
      <c r="X37" s="16">
        <f>SUM(T37/T35*100)</f>
        <v>9.697406487359565</v>
      </c>
    </row>
    <row r="38" spans="1:24" s="3" customFormat="1" ht="25.5" customHeight="1">
      <c r="A38" s="240" t="s">
        <v>27</v>
      </c>
      <c r="B38" s="407"/>
      <c r="C38" s="413" t="s">
        <v>115</v>
      </c>
      <c r="D38" s="414"/>
      <c r="E38" s="414"/>
      <c r="F38" s="415"/>
      <c r="G38" s="41">
        <v>164</v>
      </c>
      <c r="H38" s="40">
        <v>209</v>
      </c>
      <c r="I38" s="18">
        <f t="shared" si="0"/>
        <v>-45</v>
      </c>
      <c r="J38" s="11">
        <f t="shared" si="1"/>
        <v>-21.5311004784689</v>
      </c>
      <c r="K38" s="11">
        <f>SUM(G38/G35*100)</f>
        <v>1.383849464180238</v>
      </c>
      <c r="L38" s="177"/>
      <c r="M38" s="172"/>
      <c r="N38" s="240" t="s">
        <v>27</v>
      </c>
      <c r="O38" s="407"/>
      <c r="P38" s="413" t="s">
        <v>115</v>
      </c>
      <c r="Q38" s="414"/>
      <c r="R38" s="414"/>
      <c r="S38" s="415"/>
      <c r="T38" s="24">
        <v>62175</v>
      </c>
      <c r="U38" s="25">
        <v>78642</v>
      </c>
      <c r="V38" s="22">
        <f t="shared" si="2"/>
        <v>-16467</v>
      </c>
      <c r="W38" s="11">
        <f t="shared" si="3"/>
        <v>-20.93919279774167</v>
      </c>
      <c r="X38" s="16">
        <f>SUM(T38/T35*100)</f>
        <v>6.355997178519949</v>
      </c>
    </row>
    <row r="39" spans="1:24" s="3" customFormat="1" ht="25.5" customHeight="1">
      <c r="A39" s="240"/>
      <c r="B39" s="407"/>
      <c r="C39" s="413" t="s">
        <v>116</v>
      </c>
      <c r="D39" s="414"/>
      <c r="E39" s="414"/>
      <c r="F39" s="415"/>
      <c r="G39" s="39">
        <v>193</v>
      </c>
      <c r="H39" s="17">
        <v>173</v>
      </c>
      <c r="I39" s="18">
        <f>SUM(G39-H39)</f>
        <v>20</v>
      </c>
      <c r="J39" s="11">
        <f>SUM(G39/H39*100)-100</f>
        <v>11.560693641618485</v>
      </c>
      <c r="K39" s="11">
        <f>SUM(G39/G36*100)</f>
        <v>1.849544801149976</v>
      </c>
      <c r="L39" s="177"/>
      <c r="M39" s="172"/>
      <c r="N39" s="240"/>
      <c r="O39" s="407"/>
      <c r="P39" s="413" t="s">
        <v>116</v>
      </c>
      <c r="Q39" s="414"/>
      <c r="R39" s="414"/>
      <c r="S39" s="415"/>
      <c r="T39" s="20">
        <v>51405</v>
      </c>
      <c r="U39" s="21">
        <v>59184</v>
      </c>
      <c r="V39" s="22">
        <f>SUM(T39-U39)</f>
        <v>-7779</v>
      </c>
      <c r="W39" s="11">
        <f>SUM(T39/U39*100)-100</f>
        <v>-13.143755068937551</v>
      </c>
      <c r="X39" s="16">
        <f>SUM(T39/T36*100)</f>
        <v>8.175316444623979</v>
      </c>
    </row>
    <row r="40" spans="1:24" s="3" customFormat="1" ht="25.5" customHeight="1">
      <c r="A40" s="240"/>
      <c r="B40" s="407"/>
      <c r="C40" s="413" t="s">
        <v>117</v>
      </c>
      <c r="D40" s="414"/>
      <c r="E40" s="414"/>
      <c r="F40" s="415"/>
      <c r="G40" s="39">
        <v>131</v>
      </c>
      <c r="H40" s="17">
        <v>143</v>
      </c>
      <c r="I40" s="18">
        <f>SUM(G40-H40)</f>
        <v>-12</v>
      </c>
      <c r="J40" s="11">
        <f>SUM(G40/H40*100)-100</f>
        <v>-8.3916083916084</v>
      </c>
      <c r="K40" s="11">
        <f>SUM(G40/G37*100)</f>
        <v>47.292418772563174</v>
      </c>
      <c r="L40" s="177"/>
      <c r="M40" s="172"/>
      <c r="N40" s="240"/>
      <c r="O40" s="407"/>
      <c r="P40" s="413" t="s">
        <v>117</v>
      </c>
      <c r="Q40" s="414"/>
      <c r="R40" s="414"/>
      <c r="S40" s="415"/>
      <c r="T40" s="20">
        <v>15610</v>
      </c>
      <c r="U40" s="21">
        <v>18494</v>
      </c>
      <c r="V40" s="22">
        <f>SUM(T40-U40)</f>
        <v>-2884</v>
      </c>
      <c r="W40" s="11">
        <f>SUM(T40/U40*100)-100</f>
        <v>-15.594246782740356</v>
      </c>
      <c r="X40" s="16">
        <f>SUM(T40/T37*100)</f>
        <v>16.455656170607522</v>
      </c>
    </row>
    <row r="41" spans="1:24" s="3" customFormat="1" ht="25.5" customHeight="1">
      <c r="A41" s="240"/>
      <c r="B41" s="408"/>
      <c r="C41" s="413" t="s">
        <v>118</v>
      </c>
      <c r="D41" s="414"/>
      <c r="E41" s="414"/>
      <c r="F41" s="415"/>
      <c r="G41" s="39">
        <v>530</v>
      </c>
      <c r="H41" s="17">
        <v>616</v>
      </c>
      <c r="I41" s="18">
        <f>SUM(G41-H41)</f>
        <v>-86</v>
      </c>
      <c r="J41" s="11">
        <f>SUM(G41/H41*100)-100</f>
        <v>-13.961038961038966</v>
      </c>
      <c r="K41" s="11">
        <f>SUM(G41/G35*100)</f>
        <v>4.472196439119061</v>
      </c>
      <c r="L41" s="177"/>
      <c r="M41" s="172"/>
      <c r="N41" s="240"/>
      <c r="O41" s="408"/>
      <c r="P41" s="413" t="s">
        <v>118</v>
      </c>
      <c r="Q41" s="414"/>
      <c r="R41" s="414"/>
      <c r="S41" s="415"/>
      <c r="T41" s="20">
        <v>87718</v>
      </c>
      <c r="U41" s="21">
        <v>109555</v>
      </c>
      <c r="V41" s="22">
        <f>SUM(T41-U41)</f>
        <v>-21837</v>
      </c>
      <c r="W41" s="11">
        <f>SUM(T41/U41*100)-100</f>
        <v>-19.932454018529512</v>
      </c>
      <c r="X41" s="16">
        <f>SUM(T41/T35*100)</f>
        <v>8.967195183038406</v>
      </c>
    </row>
    <row r="42" spans="1:24" s="3" customFormat="1" ht="25.5" customHeight="1" thickBot="1">
      <c r="A42" s="238"/>
      <c r="B42" s="424"/>
      <c r="C42" s="425" t="s">
        <v>101</v>
      </c>
      <c r="D42" s="426"/>
      <c r="E42" s="426"/>
      <c r="F42" s="427"/>
      <c r="G42" s="79">
        <v>121</v>
      </c>
      <c r="H42" s="80">
        <v>182</v>
      </c>
      <c r="I42" s="81">
        <f>SUM(G42-H42)</f>
        <v>-61</v>
      </c>
      <c r="J42" s="82">
        <f>SUM(G42/H42*100)-100</f>
        <v>-33.51648351648352</v>
      </c>
      <c r="K42" s="82">
        <f>SUM(G42/G35*100)</f>
        <v>1.0210108851573707</v>
      </c>
      <c r="L42" s="177"/>
      <c r="M42" s="172"/>
      <c r="N42" s="238"/>
      <c r="O42" s="424"/>
      <c r="P42" s="425" t="s">
        <v>101</v>
      </c>
      <c r="Q42" s="426"/>
      <c r="R42" s="426"/>
      <c r="S42" s="427"/>
      <c r="T42" s="188">
        <v>37658</v>
      </c>
      <c r="U42" s="189">
        <v>47069</v>
      </c>
      <c r="V42" s="190">
        <f>SUM(T42-U42)</f>
        <v>-9411</v>
      </c>
      <c r="W42" s="191">
        <f>SUM(T42/U42*100)-100</f>
        <v>-19.994051286409302</v>
      </c>
      <c r="X42" s="187">
        <f>SUM(T42/T35*100)</f>
        <v>3.8496846280451025</v>
      </c>
    </row>
    <row r="43" spans="1:24" s="3" customFormat="1" ht="25.5" customHeight="1" thickTop="1">
      <c r="A43" s="154" t="s">
        <v>126</v>
      </c>
      <c r="B43" s="245"/>
      <c r="C43" s="246"/>
      <c r="D43" s="247"/>
      <c r="E43" s="247"/>
      <c r="F43" s="247"/>
      <c r="G43" s="87"/>
      <c r="H43" s="87"/>
      <c r="I43" s="88"/>
      <c r="J43" s="89"/>
      <c r="K43" s="89"/>
      <c r="L43" s="89"/>
      <c r="M43" s="89"/>
      <c r="N43" s="154" t="s">
        <v>126</v>
      </c>
      <c r="O43" s="89"/>
      <c r="P43" s="89"/>
      <c r="Q43" s="89"/>
      <c r="R43" s="89"/>
      <c r="S43" s="89"/>
      <c r="T43" s="90"/>
      <c r="U43" s="90"/>
      <c r="V43" s="91"/>
      <c r="W43" s="89"/>
      <c r="X43" s="89"/>
    </row>
    <row r="44" spans="1:24" s="3" customFormat="1" ht="25.5" customHeight="1">
      <c r="A44" s="154" t="s">
        <v>41</v>
      </c>
      <c r="B44" s="245"/>
      <c r="C44" s="246"/>
      <c r="D44" s="247"/>
      <c r="E44" s="247"/>
      <c r="F44" s="247"/>
      <c r="G44" s="87"/>
      <c r="H44" s="87"/>
      <c r="I44" s="88"/>
      <c r="J44" s="89"/>
      <c r="K44" s="89"/>
      <c r="L44" s="89"/>
      <c r="M44" s="89"/>
      <c r="N44" s="154" t="s">
        <v>41</v>
      </c>
      <c r="O44" s="89"/>
      <c r="P44" s="89"/>
      <c r="Q44" s="89"/>
      <c r="R44" s="89"/>
      <c r="S44" s="89"/>
      <c r="T44" s="90"/>
      <c r="U44" s="90"/>
      <c r="V44" s="91"/>
      <c r="W44" s="91"/>
      <c r="X44" s="89"/>
    </row>
    <row r="45" spans="1:24" s="3" customFormat="1" ht="30" customHeight="1">
      <c r="A45" s="381" t="str">
        <f>+A1</f>
        <v>2020年農林業センサス　農林業経営体調査　主要項目一覧表　（ 富 山 県 ）</v>
      </c>
      <c r="B45" s="382"/>
      <c r="C45" s="382"/>
      <c r="D45" s="382"/>
      <c r="E45" s="382"/>
      <c r="F45" s="382"/>
      <c r="G45" s="382"/>
      <c r="H45" s="382"/>
      <c r="I45" s="382"/>
      <c r="J45" s="382"/>
      <c r="K45" s="382"/>
      <c r="L45" s="147"/>
      <c r="M45" s="147"/>
      <c r="N45" s="381" t="str">
        <f>+N1</f>
        <v>2020年農林業センサス　農林業経営体調査　主要項目一覧表　　（ 全　 国 ）</v>
      </c>
      <c r="O45" s="382"/>
      <c r="P45" s="382"/>
      <c r="Q45" s="382"/>
      <c r="R45" s="382"/>
      <c r="S45" s="382"/>
      <c r="T45" s="382"/>
      <c r="U45" s="382"/>
      <c r="V45" s="382"/>
      <c r="W45" s="382"/>
      <c r="X45" s="382"/>
    </row>
    <row r="46" spans="1:24" s="3" customFormat="1" ht="27" customHeight="1" thickBot="1">
      <c r="A46" s="196"/>
      <c r="B46" s="196"/>
      <c r="C46" s="196"/>
      <c r="D46" s="196"/>
      <c r="E46" s="196"/>
      <c r="F46" s="196"/>
      <c r="G46" s="148"/>
      <c r="H46" s="148"/>
      <c r="I46" s="148"/>
      <c r="J46" s="148"/>
      <c r="K46" s="293">
        <f>+K2</f>
        <v>44313</v>
      </c>
      <c r="L46" s="149"/>
      <c r="M46" s="148"/>
      <c r="N46" s="148"/>
      <c r="O46" s="148"/>
      <c r="P46" s="148"/>
      <c r="Q46" s="148"/>
      <c r="R46" s="148"/>
      <c r="S46" s="148"/>
      <c r="T46" s="148"/>
      <c r="U46" s="148"/>
      <c r="V46" s="150"/>
      <c r="W46" s="150"/>
      <c r="X46" s="293">
        <f>+X2</f>
        <v>44313</v>
      </c>
    </row>
    <row r="47" spans="1:24" s="3" customFormat="1" ht="22.5" customHeight="1">
      <c r="A47" s="383" t="s">
        <v>86</v>
      </c>
      <c r="B47" s="384"/>
      <c r="C47" s="384"/>
      <c r="D47" s="384"/>
      <c r="E47" s="384"/>
      <c r="F47" s="384"/>
      <c r="G47" s="387" t="s">
        <v>65</v>
      </c>
      <c r="H47" s="388"/>
      <c r="I47" s="388"/>
      <c r="J47" s="388"/>
      <c r="K47" s="388"/>
      <c r="L47" s="182"/>
      <c r="M47" s="173"/>
      <c r="N47" s="383" t="s">
        <v>86</v>
      </c>
      <c r="O47" s="384"/>
      <c r="P47" s="384"/>
      <c r="Q47" s="384"/>
      <c r="R47" s="384"/>
      <c r="S47" s="384"/>
      <c r="T47" s="387" t="s">
        <v>72</v>
      </c>
      <c r="U47" s="388"/>
      <c r="V47" s="388"/>
      <c r="W47" s="388"/>
      <c r="X47" s="389"/>
    </row>
    <row r="48" spans="1:24" s="3" customFormat="1" ht="22.5" customHeight="1">
      <c r="A48" s="385"/>
      <c r="B48" s="386"/>
      <c r="C48" s="386"/>
      <c r="D48" s="386"/>
      <c r="E48" s="386"/>
      <c r="F48" s="386"/>
      <c r="G48" s="92" t="str">
        <f>+G4</f>
        <v>令2（今回）</v>
      </c>
      <c r="H48" s="93" t="str">
        <f>+H4</f>
        <v>平27（前回）</v>
      </c>
      <c r="I48" s="94" t="s">
        <v>21</v>
      </c>
      <c r="J48" s="94" t="s">
        <v>12</v>
      </c>
      <c r="K48" s="94" t="s">
        <v>39</v>
      </c>
      <c r="L48" s="176"/>
      <c r="M48" s="174"/>
      <c r="N48" s="385"/>
      <c r="O48" s="386"/>
      <c r="P48" s="386"/>
      <c r="Q48" s="386"/>
      <c r="R48" s="386"/>
      <c r="S48" s="386"/>
      <c r="T48" s="92" t="str">
        <f>+T4</f>
        <v>令2（今回）</v>
      </c>
      <c r="U48" s="93" t="str">
        <f>+U4</f>
        <v>平27（前回）</v>
      </c>
      <c r="V48" s="94" t="s">
        <v>21</v>
      </c>
      <c r="W48" s="94" t="s">
        <v>12</v>
      </c>
      <c r="X48" s="152" t="s">
        <v>39</v>
      </c>
    </row>
    <row r="49" spans="1:24" s="3" customFormat="1" ht="24.75" customHeight="1" thickBot="1">
      <c r="A49" s="396" t="s">
        <v>80</v>
      </c>
      <c r="B49" s="397"/>
      <c r="C49" s="397"/>
      <c r="D49" s="397"/>
      <c r="E49" s="397"/>
      <c r="F49" s="398"/>
      <c r="G49" s="95" t="s">
        <v>47</v>
      </c>
      <c r="H49" s="96" t="s">
        <v>48</v>
      </c>
      <c r="I49" s="97" t="s">
        <v>49</v>
      </c>
      <c r="J49" s="97" t="s">
        <v>50</v>
      </c>
      <c r="K49" s="97" t="s">
        <v>51</v>
      </c>
      <c r="L49" s="176"/>
      <c r="M49" s="174"/>
      <c r="N49" s="396" t="s">
        <v>80</v>
      </c>
      <c r="O49" s="397"/>
      <c r="P49" s="397"/>
      <c r="Q49" s="397"/>
      <c r="R49" s="397"/>
      <c r="S49" s="398"/>
      <c r="T49" s="95" t="s">
        <v>47</v>
      </c>
      <c r="U49" s="96" t="s">
        <v>48</v>
      </c>
      <c r="V49" s="97" t="s">
        <v>49</v>
      </c>
      <c r="W49" s="97" t="s">
        <v>50</v>
      </c>
      <c r="X49" s="153" t="s">
        <v>51</v>
      </c>
    </row>
    <row r="50" spans="1:24" s="3" customFormat="1" ht="24.75" customHeight="1" thickTop="1">
      <c r="A50" s="428" t="s">
        <v>85</v>
      </c>
      <c r="B50" s="373" t="s">
        <v>3</v>
      </c>
      <c r="C50" s="374"/>
      <c r="D50" s="375"/>
      <c r="E50" s="376"/>
      <c r="F50" s="377"/>
      <c r="G50" s="29">
        <v>12356</v>
      </c>
      <c r="H50" s="72">
        <v>17759</v>
      </c>
      <c r="I50" s="4">
        <f aca="true" t="shared" si="4" ref="I50:I56">SUM(G50-H50)</f>
        <v>-5403</v>
      </c>
      <c r="J50" s="73">
        <f aca="true" t="shared" si="5" ref="J50:J56">SUM(G50/H50*100)-100</f>
        <v>-30.42401036094374</v>
      </c>
      <c r="K50" s="27">
        <f>SUM(G50/G50*100)</f>
        <v>100</v>
      </c>
      <c r="L50" s="177"/>
      <c r="M50" s="172"/>
      <c r="N50" s="428" t="s">
        <v>85</v>
      </c>
      <c r="O50" s="373" t="s">
        <v>3</v>
      </c>
      <c r="P50" s="374"/>
      <c r="Q50" s="375"/>
      <c r="R50" s="376"/>
      <c r="S50" s="377"/>
      <c r="T50" s="75">
        <v>1075705</v>
      </c>
      <c r="U50" s="76">
        <v>1377266</v>
      </c>
      <c r="V50" s="8">
        <f aca="true" t="shared" si="6" ref="V50:V56">SUM(T50-U50)</f>
        <v>-301561</v>
      </c>
      <c r="W50" s="5">
        <f aca="true" t="shared" si="7" ref="W50:W56">SUM(T50/U50*100)-100</f>
        <v>-21.89562510074306</v>
      </c>
      <c r="X50" s="28">
        <f>SUM(T50/T50*100)</f>
        <v>100</v>
      </c>
    </row>
    <row r="51" spans="1:24" s="3" customFormat="1" ht="24.75" customHeight="1">
      <c r="A51" s="371"/>
      <c r="B51" s="248"/>
      <c r="C51" s="225" t="s">
        <v>125</v>
      </c>
      <c r="D51" s="226"/>
      <c r="E51" s="226"/>
      <c r="F51" s="249"/>
      <c r="G51" s="39">
        <v>686</v>
      </c>
      <c r="H51" s="17">
        <v>2207</v>
      </c>
      <c r="I51" s="18">
        <f t="shared" si="4"/>
        <v>-1521</v>
      </c>
      <c r="J51" s="11">
        <f t="shared" si="5"/>
        <v>-68.9170820117807</v>
      </c>
      <c r="K51" s="11">
        <f>SUM(G51/G$50*100)</f>
        <v>5.551958562641632</v>
      </c>
      <c r="L51" s="177"/>
      <c r="M51" s="172"/>
      <c r="N51" s="371"/>
      <c r="O51" s="248"/>
      <c r="P51" s="225" t="s">
        <v>125</v>
      </c>
      <c r="Q51" s="226"/>
      <c r="R51" s="226"/>
      <c r="S51" s="249"/>
      <c r="T51" s="20">
        <v>56220</v>
      </c>
      <c r="U51" s="21">
        <v>236655</v>
      </c>
      <c r="V51" s="22">
        <f t="shared" si="6"/>
        <v>-180435</v>
      </c>
      <c r="W51" s="11">
        <f t="shared" si="7"/>
        <v>-76.24389934715091</v>
      </c>
      <c r="X51" s="16">
        <f>SUM(T51/T$50*100)</f>
        <v>5.226339935205284</v>
      </c>
    </row>
    <row r="52" spans="1:24" s="3" customFormat="1" ht="24.75" customHeight="1">
      <c r="A52" s="372"/>
      <c r="B52" s="215"/>
      <c r="C52" s="222" t="s">
        <v>32</v>
      </c>
      <c r="D52" s="223"/>
      <c r="E52" s="223"/>
      <c r="F52" s="224"/>
      <c r="G52" s="39">
        <v>410</v>
      </c>
      <c r="H52" s="17">
        <v>352</v>
      </c>
      <c r="I52" s="18">
        <f t="shared" si="4"/>
        <v>58</v>
      </c>
      <c r="J52" s="11">
        <f t="shared" si="5"/>
        <v>16.477272727272734</v>
      </c>
      <c r="K52" s="11">
        <f>SUM(G52/G$50*100)</f>
        <v>3.3182259630948527</v>
      </c>
      <c r="L52" s="177"/>
      <c r="M52" s="172"/>
      <c r="N52" s="372"/>
      <c r="O52" s="215"/>
      <c r="P52" s="225" t="s">
        <v>32</v>
      </c>
      <c r="Q52" s="223"/>
      <c r="R52" s="223"/>
      <c r="S52" s="224"/>
      <c r="T52" s="20">
        <v>29950</v>
      </c>
      <c r="U52" s="21">
        <v>25068</v>
      </c>
      <c r="V52" s="22">
        <f t="shared" si="6"/>
        <v>4882</v>
      </c>
      <c r="W52" s="11">
        <f t="shared" si="7"/>
        <v>19.475027924046586</v>
      </c>
      <c r="X52" s="16">
        <f>SUM(T52/T$50*100)</f>
        <v>2.784220580921349</v>
      </c>
    </row>
    <row r="53" spans="1:24" s="3" customFormat="1" ht="24.75" customHeight="1">
      <c r="A53" s="327"/>
      <c r="B53" s="215"/>
      <c r="C53" s="225" t="s">
        <v>34</v>
      </c>
      <c r="D53" s="226"/>
      <c r="E53" s="226"/>
      <c r="F53" s="249"/>
      <c r="G53" s="39">
        <v>22</v>
      </c>
      <c r="H53" s="17">
        <v>22</v>
      </c>
      <c r="I53" s="18">
        <f t="shared" si="4"/>
        <v>0</v>
      </c>
      <c r="J53" s="11">
        <f t="shared" si="5"/>
        <v>0</v>
      </c>
      <c r="K53" s="11">
        <f>SUM(G53/G$50*100)</f>
        <v>0.178051149239236</v>
      </c>
      <c r="L53" s="177"/>
      <c r="M53" s="172"/>
      <c r="N53" s="327"/>
      <c r="O53" s="215"/>
      <c r="P53" s="225" t="s">
        <v>34</v>
      </c>
      <c r="Q53" s="226"/>
      <c r="R53" s="226"/>
      <c r="S53" s="249"/>
      <c r="T53" s="20">
        <v>5275</v>
      </c>
      <c r="U53" s="21">
        <v>6597</v>
      </c>
      <c r="V53" s="22">
        <f t="shared" si="6"/>
        <v>-1322</v>
      </c>
      <c r="W53" s="11">
        <f t="shared" si="7"/>
        <v>-20.039411853872963</v>
      </c>
      <c r="X53" s="16">
        <f>SUM(T53/T$50*100)</f>
        <v>0.4903760789435765</v>
      </c>
    </row>
    <row r="54" spans="1:24" s="3" customFormat="1" ht="24.75" customHeight="1">
      <c r="A54" s="327"/>
      <c r="B54" s="215"/>
      <c r="C54" s="222" t="s">
        <v>33</v>
      </c>
      <c r="D54" s="223"/>
      <c r="E54" s="223"/>
      <c r="F54" s="224"/>
      <c r="G54" s="39">
        <v>7</v>
      </c>
      <c r="H54" s="17">
        <v>21</v>
      </c>
      <c r="I54" s="18">
        <f t="shared" si="4"/>
        <v>-14</v>
      </c>
      <c r="J54" s="11">
        <f t="shared" si="5"/>
        <v>-66.66666666666667</v>
      </c>
      <c r="K54" s="11">
        <f>SUM(G54/G$50*100)</f>
        <v>0.05665263839430237</v>
      </c>
      <c r="L54" s="177"/>
      <c r="M54" s="172"/>
      <c r="N54" s="327"/>
      <c r="O54" s="215"/>
      <c r="P54" s="222" t="s">
        <v>33</v>
      </c>
      <c r="Q54" s="223"/>
      <c r="R54" s="223"/>
      <c r="S54" s="224"/>
      <c r="T54" s="20">
        <v>1533</v>
      </c>
      <c r="U54" s="21">
        <v>3723</v>
      </c>
      <c r="V54" s="22">
        <f t="shared" si="6"/>
        <v>-2190</v>
      </c>
      <c r="W54" s="11">
        <f t="shared" si="7"/>
        <v>-58.82352941176471</v>
      </c>
      <c r="X54" s="16">
        <f>SUM(T54/T$50*100)</f>
        <v>0.14251119033564036</v>
      </c>
    </row>
    <row r="55" spans="1:24" s="3" customFormat="1" ht="24.75" customHeight="1">
      <c r="A55" s="275" t="s">
        <v>82</v>
      </c>
      <c r="B55" s="215"/>
      <c r="C55" s="225" t="s">
        <v>124</v>
      </c>
      <c r="D55" s="226"/>
      <c r="E55" s="227"/>
      <c r="F55" s="228"/>
      <c r="G55" s="41">
        <v>20</v>
      </c>
      <c r="H55" s="40">
        <v>19</v>
      </c>
      <c r="I55" s="18">
        <f t="shared" si="4"/>
        <v>1</v>
      </c>
      <c r="J55" s="11">
        <f t="shared" si="5"/>
        <v>5.263157894736835</v>
      </c>
      <c r="K55" s="11">
        <f>SUM(G55/G50*100)</f>
        <v>0.16186468112657817</v>
      </c>
      <c r="L55" s="177"/>
      <c r="M55" s="172"/>
      <c r="N55" s="275" t="s">
        <v>82</v>
      </c>
      <c r="O55" s="215"/>
      <c r="P55" s="225" t="s">
        <v>124</v>
      </c>
      <c r="Q55" s="226"/>
      <c r="R55" s="227"/>
      <c r="S55" s="228"/>
      <c r="T55" s="24">
        <v>1244</v>
      </c>
      <c r="U55" s="25">
        <v>1304</v>
      </c>
      <c r="V55" s="22">
        <f t="shared" si="6"/>
        <v>-60</v>
      </c>
      <c r="W55" s="11">
        <f t="shared" si="7"/>
        <v>-4.601226993865026</v>
      </c>
      <c r="X55" s="16">
        <f>SUM(T55/T50*100)</f>
        <v>0.11564508856982164</v>
      </c>
    </row>
    <row r="56" spans="1:24" s="3" customFormat="1" ht="24.75" customHeight="1" thickBot="1">
      <c r="A56" s="250"/>
      <c r="B56" s="239"/>
      <c r="C56" s="244" t="s">
        <v>35</v>
      </c>
      <c r="D56" s="241"/>
      <c r="E56" s="242"/>
      <c r="F56" s="243"/>
      <c r="G56" s="79">
        <v>4</v>
      </c>
      <c r="H56" s="80">
        <v>13</v>
      </c>
      <c r="I56" s="81">
        <f t="shared" si="4"/>
        <v>-9</v>
      </c>
      <c r="J56" s="82">
        <f t="shared" si="5"/>
        <v>-69.23076923076923</v>
      </c>
      <c r="K56" s="82">
        <f>SUM(G56/G50*100)</f>
        <v>0.03237293622531564</v>
      </c>
      <c r="L56" s="177"/>
      <c r="M56" s="172"/>
      <c r="N56" s="250"/>
      <c r="O56" s="239"/>
      <c r="P56" s="244" t="s">
        <v>35</v>
      </c>
      <c r="Q56" s="241"/>
      <c r="R56" s="242"/>
      <c r="S56" s="243"/>
      <c r="T56" s="83">
        <v>1215</v>
      </c>
      <c r="U56" s="84">
        <v>1750</v>
      </c>
      <c r="V56" s="85">
        <f t="shared" si="6"/>
        <v>-535</v>
      </c>
      <c r="W56" s="82">
        <f t="shared" si="7"/>
        <v>-30.57142857142857</v>
      </c>
      <c r="X56" s="86">
        <f>SUM(T56/T50*100)</f>
        <v>0.11294918216425506</v>
      </c>
    </row>
    <row r="57" spans="1:24" s="3" customFormat="1" ht="25.5" customHeight="1" thickTop="1">
      <c r="A57" s="370" t="s">
        <v>74</v>
      </c>
      <c r="B57" s="432" t="s">
        <v>3</v>
      </c>
      <c r="C57" s="433"/>
      <c r="D57" s="434"/>
      <c r="E57" s="435"/>
      <c r="F57" s="436"/>
      <c r="G57" s="98">
        <v>12356</v>
      </c>
      <c r="H57" s="199">
        <v>17759</v>
      </c>
      <c r="I57" s="4">
        <f aca="true" t="shared" si="8" ref="I57:I72">SUM(G57-H57)</f>
        <v>-5403</v>
      </c>
      <c r="J57" s="5">
        <f aca="true" t="shared" si="9" ref="J57:J68">SUM(G57/H57*100)-100</f>
        <v>-30.42401036094374</v>
      </c>
      <c r="K57" s="27">
        <f>SUM(G57/G57*100)</f>
        <v>100</v>
      </c>
      <c r="L57" s="177"/>
      <c r="M57" s="172"/>
      <c r="N57" s="370" t="s">
        <v>74</v>
      </c>
      <c r="O57" s="432" t="s">
        <v>3</v>
      </c>
      <c r="P57" s="433"/>
      <c r="Q57" s="434"/>
      <c r="R57" s="435"/>
      <c r="S57" s="436"/>
      <c r="T57" s="98">
        <v>1075705</v>
      </c>
      <c r="U57" s="215">
        <v>1377266</v>
      </c>
      <c r="V57" s="4">
        <f aca="true" t="shared" si="10" ref="V57:V72">SUM(T57-U57)</f>
        <v>-301561</v>
      </c>
      <c r="W57" s="5">
        <f aca="true" t="shared" si="11" ref="W57:W66">SUM(T57/U57*100)-100</f>
        <v>-21.89562510074306</v>
      </c>
      <c r="X57" s="28">
        <f>SUM(T57/T57*100)</f>
        <v>100</v>
      </c>
    </row>
    <row r="58" spans="1:24" s="3" customFormat="1" ht="15" customHeight="1">
      <c r="A58" s="430"/>
      <c r="B58" s="248"/>
      <c r="C58" s="437" t="s">
        <v>90</v>
      </c>
      <c r="D58" s="438"/>
      <c r="E58" s="438"/>
      <c r="F58" s="439"/>
      <c r="G58" s="109">
        <v>141</v>
      </c>
      <c r="H58" s="40">
        <v>185</v>
      </c>
      <c r="I58" s="18">
        <f>SUM(G58-H58)</f>
        <v>-44</v>
      </c>
      <c r="J58" s="11">
        <f>SUM(G58/H58*100)-100</f>
        <v>-23.78378378378379</v>
      </c>
      <c r="K58" s="11">
        <f>SUM(G58/G57*100)</f>
        <v>1.141146001942376</v>
      </c>
      <c r="L58" s="177"/>
      <c r="M58" s="172"/>
      <c r="N58" s="430"/>
      <c r="O58" s="248"/>
      <c r="P58" s="437" t="s">
        <v>90</v>
      </c>
      <c r="Q58" s="438"/>
      <c r="R58" s="438"/>
      <c r="S58" s="439"/>
      <c r="T58" s="109">
        <v>16951</v>
      </c>
      <c r="U58" s="40">
        <v>16089</v>
      </c>
      <c r="V58" s="18">
        <f>SUM(T58-U58)</f>
        <v>862</v>
      </c>
      <c r="W58" s="11">
        <f>SUM(T58/U58*100)-100</f>
        <v>5.357697805954388</v>
      </c>
      <c r="X58" s="16">
        <f>SUM(T58/T57*100)</f>
        <v>1.5758037751985907</v>
      </c>
    </row>
    <row r="59" spans="1:24" s="3" customFormat="1" ht="15" customHeight="1">
      <c r="A59" s="431"/>
      <c r="B59" s="215"/>
      <c r="C59" s="437" t="s">
        <v>2</v>
      </c>
      <c r="D59" s="438"/>
      <c r="E59" s="438"/>
      <c r="F59" s="439"/>
      <c r="G59" s="39">
        <f>276-141</f>
        <v>135</v>
      </c>
      <c r="H59" s="17">
        <v>116</v>
      </c>
      <c r="I59" s="18">
        <f t="shared" si="8"/>
        <v>19</v>
      </c>
      <c r="J59" s="11">
        <f t="shared" si="9"/>
        <v>16.379310344827587</v>
      </c>
      <c r="K59" s="11">
        <f>SUM(G59/G57*100)</f>
        <v>1.0925865976044027</v>
      </c>
      <c r="L59" s="177"/>
      <c r="M59" s="172"/>
      <c r="N59" s="431"/>
      <c r="O59" s="215"/>
      <c r="P59" s="437" t="s">
        <v>2</v>
      </c>
      <c r="Q59" s="438"/>
      <c r="R59" s="438"/>
      <c r="S59" s="439"/>
      <c r="T59" s="39">
        <f>52883-16951</f>
        <v>35932</v>
      </c>
      <c r="U59" s="40">
        <v>32919</v>
      </c>
      <c r="V59" s="18">
        <f t="shared" si="10"/>
        <v>3013</v>
      </c>
      <c r="W59" s="11">
        <f t="shared" si="11"/>
        <v>9.152768917646341</v>
      </c>
      <c r="X59" s="16">
        <f>SUM(T59/T57*100)</f>
        <v>3.3403209987868423</v>
      </c>
    </row>
    <row r="60" spans="1:24" s="3" customFormat="1" ht="15" customHeight="1">
      <c r="A60" s="431"/>
      <c r="B60" s="215"/>
      <c r="C60" s="440">
        <v>0.3</v>
      </c>
      <c r="D60" s="441"/>
      <c r="E60" s="251" t="s">
        <v>14</v>
      </c>
      <c r="F60" s="252" t="s">
        <v>56</v>
      </c>
      <c r="G60" s="41">
        <v>4961</v>
      </c>
      <c r="H60" s="40">
        <v>7515</v>
      </c>
      <c r="I60" s="18">
        <f t="shared" si="8"/>
        <v>-2554</v>
      </c>
      <c r="J60" s="11">
        <f t="shared" si="9"/>
        <v>-33.9853626081171</v>
      </c>
      <c r="K60" s="11">
        <f>SUM(G60/G57*100)</f>
        <v>40.15053415344772</v>
      </c>
      <c r="L60" s="177"/>
      <c r="M60" s="172"/>
      <c r="N60" s="431"/>
      <c r="O60" s="215"/>
      <c r="P60" s="440">
        <v>0.3</v>
      </c>
      <c r="Q60" s="441"/>
      <c r="R60" s="251" t="s">
        <v>14</v>
      </c>
      <c r="S60" s="252" t="s">
        <v>56</v>
      </c>
      <c r="T60" s="41">
        <v>512624</v>
      </c>
      <c r="U60" s="40">
        <v>692355</v>
      </c>
      <c r="V60" s="18">
        <f t="shared" si="10"/>
        <v>-179731</v>
      </c>
      <c r="W60" s="11">
        <f t="shared" si="11"/>
        <v>-25.959370554123254</v>
      </c>
      <c r="X60" s="16">
        <f>SUM(T60/T57*100)</f>
        <v>47.654700870591846</v>
      </c>
    </row>
    <row r="61" spans="1:24" s="3" customFormat="1" ht="15" customHeight="1">
      <c r="A61" s="62" t="s">
        <v>82</v>
      </c>
      <c r="B61" s="215"/>
      <c r="C61" s="440">
        <v>1</v>
      </c>
      <c r="D61" s="442"/>
      <c r="E61" s="251" t="s">
        <v>14</v>
      </c>
      <c r="F61" s="252" t="s">
        <v>57</v>
      </c>
      <c r="G61" s="41">
        <v>3872</v>
      </c>
      <c r="H61" s="40">
        <v>6027</v>
      </c>
      <c r="I61" s="18">
        <f t="shared" si="8"/>
        <v>-2155</v>
      </c>
      <c r="J61" s="11">
        <f t="shared" si="9"/>
        <v>-35.75576572092251</v>
      </c>
      <c r="K61" s="11">
        <f>SUM(G61/G57*100)</f>
        <v>31.337002266105536</v>
      </c>
      <c r="L61" s="177"/>
      <c r="M61" s="172"/>
      <c r="N61" s="62" t="s">
        <v>82</v>
      </c>
      <c r="O61" s="215"/>
      <c r="P61" s="440">
        <v>1</v>
      </c>
      <c r="Q61" s="442"/>
      <c r="R61" s="251" t="s">
        <v>14</v>
      </c>
      <c r="S61" s="252" t="s">
        <v>57</v>
      </c>
      <c r="T61" s="41">
        <v>246562</v>
      </c>
      <c r="U61" s="40">
        <v>333369</v>
      </c>
      <c r="V61" s="18">
        <f t="shared" si="10"/>
        <v>-86807</v>
      </c>
      <c r="W61" s="11">
        <f t="shared" si="11"/>
        <v>-26.0393137934241</v>
      </c>
      <c r="X61" s="16">
        <f>SUM(T61/T57*100)</f>
        <v>22.92096810928647</v>
      </c>
    </row>
    <row r="62" spans="1:24" s="3" customFormat="1" ht="15" customHeight="1">
      <c r="A62" s="98"/>
      <c r="B62" s="215"/>
      <c r="C62" s="440">
        <v>2</v>
      </c>
      <c r="D62" s="442"/>
      <c r="E62" s="251" t="s">
        <v>14</v>
      </c>
      <c r="F62" s="252" t="s">
        <v>58</v>
      </c>
      <c r="G62" s="41">
        <v>1184</v>
      </c>
      <c r="H62" s="40">
        <v>1675</v>
      </c>
      <c r="I62" s="18">
        <f t="shared" si="8"/>
        <v>-491</v>
      </c>
      <c r="J62" s="11">
        <f t="shared" si="9"/>
        <v>-29.31343283582089</v>
      </c>
      <c r="K62" s="11">
        <f>SUM(G62/G57*100)</f>
        <v>9.582389122693428</v>
      </c>
      <c r="L62" s="177"/>
      <c r="M62" s="172"/>
      <c r="N62" s="98"/>
      <c r="O62" s="215"/>
      <c r="P62" s="440">
        <v>2</v>
      </c>
      <c r="Q62" s="442"/>
      <c r="R62" s="251" t="s">
        <v>14</v>
      </c>
      <c r="S62" s="252" t="s">
        <v>58</v>
      </c>
      <c r="T62" s="41">
        <v>91427</v>
      </c>
      <c r="U62" s="40">
        <v>115983</v>
      </c>
      <c r="V62" s="18">
        <f t="shared" si="10"/>
        <v>-24556</v>
      </c>
      <c r="W62" s="11">
        <f t="shared" si="11"/>
        <v>-21.172068320357297</v>
      </c>
      <c r="X62" s="16">
        <f>SUM(T62/T57*100)</f>
        <v>8.49926327385296</v>
      </c>
    </row>
    <row r="63" spans="1:24" s="3" customFormat="1" ht="15" customHeight="1">
      <c r="A63" s="98"/>
      <c r="B63" s="215"/>
      <c r="C63" s="495">
        <v>3</v>
      </c>
      <c r="D63" s="496"/>
      <c r="E63" s="216" t="s">
        <v>14</v>
      </c>
      <c r="F63" s="217" t="s">
        <v>59</v>
      </c>
      <c r="G63" s="39">
        <v>607</v>
      </c>
      <c r="H63" s="17">
        <v>763</v>
      </c>
      <c r="I63" s="26">
        <f t="shared" si="8"/>
        <v>-156</v>
      </c>
      <c r="J63" s="27">
        <f t="shared" si="9"/>
        <v>-20.44560943643512</v>
      </c>
      <c r="K63" s="42">
        <f>SUM(G63/G57*100)</f>
        <v>4.9125930721916475</v>
      </c>
      <c r="L63" s="177"/>
      <c r="M63" s="172"/>
      <c r="N63" s="98"/>
      <c r="O63" s="215"/>
      <c r="P63" s="495">
        <v>3</v>
      </c>
      <c r="Q63" s="496"/>
      <c r="R63" s="216" t="s">
        <v>14</v>
      </c>
      <c r="S63" s="217" t="s">
        <v>59</v>
      </c>
      <c r="T63" s="39">
        <v>68593</v>
      </c>
      <c r="U63" s="17">
        <v>81538</v>
      </c>
      <c r="V63" s="26">
        <f t="shared" si="10"/>
        <v>-12945</v>
      </c>
      <c r="W63" s="27">
        <f t="shared" si="11"/>
        <v>-15.87603326056562</v>
      </c>
      <c r="X63" s="44">
        <f>SUM(T63/T57*100)</f>
        <v>6.376562347483743</v>
      </c>
    </row>
    <row r="64" spans="1:24" s="3" customFormat="1" ht="25.5" customHeight="1">
      <c r="A64" s="98"/>
      <c r="B64" s="215"/>
      <c r="C64" s="448" t="s">
        <v>11</v>
      </c>
      <c r="D64" s="449"/>
      <c r="E64" s="449"/>
      <c r="F64" s="450"/>
      <c r="G64" s="287">
        <f>SUM(G58:G63)</f>
        <v>10900</v>
      </c>
      <c r="H64" s="99">
        <f>SUM(H58:H63)</f>
        <v>16281</v>
      </c>
      <c r="I64" s="47">
        <f t="shared" si="8"/>
        <v>-5381</v>
      </c>
      <c r="J64" s="49">
        <f t="shared" si="9"/>
        <v>-33.05079540568762</v>
      </c>
      <c r="K64" s="49">
        <f>SUM(G64/G57*100)</f>
        <v>88.2162512139851</v>
      </c>
      <c r="L64" s="177"/>
      <c r="M64" s="172"/>
      <c r="N64" s="98"/>
      <c r="O64" s="215"/>
      <c r="P64" s="448" t="s">
        <v>11</v>
      </c>
      <c r="Q64" s="449"/>
      <c r="R64" s="449"/>
      <c r="S64" s="450"/>
      <c r="T64" s="287">
        <f>SUM(T58:T63)</f>
        <v>972089</v>
      </c>
      <c r="U64" s="99">
        <f>SUM(U58:U63)</f>
        <v>1272253</v>
      </c>
      <c r="V64" s="47">
        <f t="shared" si="10"/>
        <v>-300164</v>
      </c>
      <c r="W64" s="49">
        <f t="shared" si="11"/>
        <v>-23.59310608817586</v>
      </c>
      <c r="X64" s="53">
        <f>SUM(T64/T57*100)</f>
        <v>90.36761937520045</v>
      </c>
    </row>
    <row r="65" spans="1:24" s="3" customFormat="1" ht="15" customHeight="1">
      <c r="A65" s="98"/>
      <c r="B65" s="215"/>
      <c r="C65" s="497">
        <v>5</v>
      </c>
      <c r="D65" s="498"/>
      <c r="E65" s="253" t="s">
        <v>14</v>
      </c>
      <c r="F65" s="254" t="s">
        <v>15</v>
      </c>
      <c r="G65" s="100">
        <v>419</v>
      </c>
      <c r="H65" s="101">
        <v>526</v>
      </c>
      <c r="I65" s="26">
        <f t="shared" si="8"/>
        <v>-107</v>
      </c>
      <c r="J65" s="6">
        <f t="shared" si="9"/>
        <v>-20.342205323193923</v>
      </c>
      <c r="K65" s="6">
        <f>SUM(G65/G57*100)</f>
        <v>3.3910650696018125</v>
      </c>
      <c r="L65" s="177"/>
      <c r="M65" s="172"/>
      <c r="N65" s="98"/>
      <c r="O65" s="215"/>
      <c r="P65" s="497">
        <v>5</v>
      </c>
      <c r="Q65" s="498"/>
      <c r="R65" s="253" t="s">
        <v>14</v>
      </c>
      <c r="S65" s="254" t="s">
        <v>15</v>
      </c>
      <c r="T65" s="100">
        <v>48454</v>
      </c>
      <c r="U65" s="101">
        <v>52229</v>
      </c>
      <c r="V65" s="26">
        <f t="shared" si="10"/>
        <v>-3775</v>
      </c>
      <c r="W65" s="6">
        <f t="shared" si="11"/>
        <v>-7.227785329989089</v>
      </c>
      <c r="X65" s="9">
        <f>SUM(T65/T57*100)</f>
        <v>4.504394792252523</v>
      </c>
    </row>
    <row r="66" spans="1:24" s="3" customFormat="1" ht="15" customHeight="1">
      <c r="A66" s="98"/>
      <c r="B66" s="215"/>
      <c r="C66" s="219" t="s">
        <v>15</v>
      </c>
      <c r="D66" s="251"/>
      <c r="E66" s="251" t="s">
        <v>14</v>
      </c>
      <c r="F66" s="252" t="s">
        <v>16</v>
      </c>
      <c r="G66" s="41">
        <v>612</v>
      </c>
      <c r="H66" s="40">
        <v>624</v>
      </c>
      <c r="I66" s="102">
        <f t="shared" si="8"/>
        <v>-12</v>
      </c>
      <c r="J66" s="11">
        <f t="shared" si="9"/>
        <v>-1.923076923076934</v>
      </c>
      <c r="K66" s="11">
        <f>SUM(G66/G57*100)</f>
        <v>4.953059242473292</v>
      </c>
      <c r="L66" s="177"/>
      <c r="M66" s="172"/>
      <c r="N66" s="98"/>
      <c r="O66" s="215"/>
      <c r="P66" s="219" t="s">
        <v>15</v>
      </c>
      <c r="Q66" s="251"/>
      <c r="R66" s="251" t="s">
        <v>14</v>
      </c>
      <c r="S66" s="252" t="s">
        <v>16</v>
      </c>
      <c r="T66" s="41">
        <v>36636</v>
      </c>
      <c r="U66" s="40">
        <v>35688</v>
      </c>
      <c r="V66" s="102">
        <f t="shared" si="10"/>
        <v>948</v>
      </c>
      <c r="W66" s="11">
        <f t="shared" si="11"/>
        <v>2.6563550773369258</v>
      </c>
      <c r="X66" s="16">
        <f>SUM(T66/T57*100)</f>
        <v>3.405766450839217</v>
      </c>
    </row>
    <row r="67" spans="1:24" s="3" customFormat="1" ht="15" customHeight="1">
      <c r="A67" s="98"/>
      <c r="B67" s="215"/>
      <c r="C67" s="218" t="s">
        <v>13</v>
      </c>
      <c r="D67" s="245"/>
      <c r="E67" s="245"/>
      <c r="F67" s="255"/>
      <c r="G67" s="103">
        <v>425</v>
      </c>
      <c r="H67" s="104">
        <v>328</v>
      </c>
      <c r="I67" s="26">
        <f t="shared" si="8"/>
        <v>97</v>
      </c>
      <c r="J67" s="42">
        <f>SUM(G67/H67*100)-100</f>
        <v>29.573170731707307</v>
      </c>
      <c r="K67" s="42">
        <f>SUM(G67/G57*100)</f>
        <v>3.4396244739397863</v>
      </c>
      <c r="L67" s="177"/>
      <c r="M67" s="172"/>
      <c r="N67" s="98"/>
      <c r="O67" s="215"/>
      <c r="P67" s="218" t="s">
        <v>13</v>
      </c>
      <c r="Q67" s="245"/>
      <c r="R67" s="245"/>
      <c r="S67" s="255"/>
      <c r="T67" s="103">
        <v>18526</v>
      </c>
      <c r="U67" s="104">
        <v>17096</v>
      </c>
      <c r="V67" s="26">
        <f t="shared" si="10"/>
        <v>1430</v>
      </c>
      <c r="W67" s="42">
        <f aca="true" t="shared" si="12" ref="W67:W72">SUM(T67/U67*100)-100</f>
        <v>8.3645297145531</v>
      </c>
      <c r="X67" s="44">
        <f>SUM(T67/T57*100)</f>
        <v>1.7222193817078104</v>
      </c>
    </row>
    <row r="68" spans="1:24" s="3" customFormat="1" ht="24.75" customHeight="1" thickBot="1">
      <c r="A68" s="98"/>
      <c r="B68" s="215"/>
      <c r="C68" s="445" t="s">
        <v>11</v>
      </c>
      <c r="D68" s="446"/>
      <c r="E68" s="446"/>
      <c r="F68" s="447"/>
      <c r="G68" s="60">
        <f>SUM(G65:G67)</f>
        <v>1456</v>
      </c>
      <c r="H68" s="61">
        <f>SUM(H65:H67)</f>
        <v>1478</v>
      </c>
      <c r="I68" s="185">
        <f t="shared" si="8"/>
        <v>-22</v>
      </c>
      <c r="J68" s="27">
        <f t="shared" si="9"/>
        <v>-1.4884979702300427</v>
      </c>
      <c r="K68" s="6">
        <f>SUM(G68/G57*100)</f>
        <v>11.783748786014892</v>
      </c>
      <c r="L68" s="177"/>
      <c r="M68" s="172"/>
      <c r="N68" s="98"/>
      <c r="O68" s="215"/>
      <c r="P68" s="445" t="s">
        <v>11</v>
      </c>
      <c r="Q68" s="446"/>
      <c r="R68" s="446"/>
      <c r="S68" s="447"/>
      <c r="T68" s="60">
        <f>SUM(T65:T67)</f>
        <v>103616</v>
      </c>
      <c r="U68" s="61">
        <f>SUM(U65:U67)</f>
        <v>105013</v>
      </c>
      <c r="V68" s="185">
        <f t="shared" si="10"/>
        <v>-1397</v>
      </c>
      <c r="W68" s="27">
        <f t="shared" si="12"/>
        <v>-1.3303114852446782</v>
      </c>
      <c r="X68" s="9">
        <f>SUM(T68/T57*100)</f>
        <v>9.63238062479955</v>
      </c>
    </row>
    <row r="69" spans="1:24" s="3" customFormat="1" ht="25.5" customHeight="1" thickTop="1">
      <c r="A69" s="320" t="s">
        <v>119</v>
      </c>
      <c r="B69" s="451" t="s">
        <v>3</v>
      </c>
      <c r="C69" s="452"/>
      <c r="D69" s="453"/>
      <c r="E69" s="453"/>
      <c r="F69" s="454"/>
      <c r="G69" s="329">
        <v>11331</v>
      </c>
      <c r="H69" s="110">
        <v>16778</v>
      </c>
      <c r="I69" s="330">
        <f t="shared" si="8"/>
        <v>-5447</v>
      </c>
      <c r="J69" s="74">
        <f>SUM(G69/H69*100)-100</f>
        <v>-32.465132912146856</v>
      </c>
      <c r="K69" s="77">
        <f>SUM(G69/G69*100)</f>
        <v>100</v>
      </c>
      <c r="L69" s="177"/>
      <c r="M69" s="172"/>
      <c r="N69" s="320" t="s">
        <v>119</v>
      </c>
      <c r="O69" s="451" t="s">
        <v>3</v>
      </c>
      <c r="P69" s="452"/>
      <c r="Q69" s="453"/>
      <c r="R69" s="453"/>
      <c r="S69" s="454"/>
      <c r="T69" s="329">
        <v>1037342</v>
      </c>
      <c r="U69" s="110">
        <v>1339964</v>
      </c>
      <c r="V69" s="330">
        <f t="shared" si="10"/>
        <v>-302622</v>
      </c>
      <c r="W69" s="74">
        <f t="shared" si="12"/>
        <v>-22.58433808669487</v>
      </c>
      <c r="X69" s="77">
        <f>SUM(T69/T69*100)</f>
        <v>100</v>
      </c>
    </row>
    <row r="70" spans="1:24" s="3" customFormat="1" ht="25.5" customHeight="1">
      <c r="A70" s="322" t="s">
        <v>120</v>
      </c>
      <c r="B70" s="455"/>
      <c r="C70" s="458" t="s">
        <v>121</v>
      </c>
      <c r="D70" s="459"/>
      <c r="E70" s="459"/>
      <c r="F70" s="460"/>
      <c r="G70" s="328">
        <v>905</v>
      </c>
      <c r="H70" s="61">
        <v>1195</v>
      </c>
      <c r="I70" s="105">
        <f t="shared" si="8"/>
        <v>-290</v>
      </c>
      <c r="J70" s="27">
        <f>SUM(G70/H70*100)-100</f>
        <v>-24.26778242677824</v>
      </c>
      <c r="K70" s="28">
        <f>SUM(G70/G69*100)</f>
        <v>7.986938487335628</v>
      </c>
      <c r="L70" s="177"/>
      <c r="M70" s="172"/>
      <c r="N70" s="322" t="s">
        <v>120</v>
      </c>
      <c r="O70" s="455"/>
      <c r="P70" s="458" t="s">
        <v>121</v>
      </c>
      <c r="Q70" s="459"/>
      <c r="R70" s="459"/>
      <c r="S70" s="460"/>
      <c r="T70" s="328">
        <v>230855</v>
      </c>
      <c r="U70" s="61">
        <v>291531</v>
      </c>
      <c r="V70" s="105">
        <f t="shared" si="10"/>
        <v>-60676</v>
      </c>
      <c r="W70" s="27">
        <f t="shared" si="12"/>
        <v>-20.812880962916466</v>
      </c>
      <c r="X70" s="28">
        <f>SUM(T70/T69*100)</f>
        <v>22.254473452342623</v>
      </c>
    </row>
    <row r="71" spans="1:24" s="3" customFormat="1" ht="25.5" customHeight="1">
      <c r="A71" s="321" t="s">
        <v>5</v>
      </c>
      <c r="B71" s="456"/>
      <c r="C71" s="458" t="s">
        <v>122</v>
      </c>
      <c r="D71" s="459"/>
      <c r="E71" s="459"/>
      <c r="F71" s="460"/>
      <c r="G71" s="109">
        <v>1729</v>
      </c>
      <c r="H71" s="40">
        <v>3498</v>
      </c>
      <c r="I71" s="106">
        <f t="shared" si="8"/>
        <v>-1769</v>
      </c>
      <c r="J71" s="11">
        <f>SUM(G71/H71*100)-100</f>
        <v>-50.57175528873642</v>
      </c>
      <c r="K71" s="16">
        <f>SUM(G71/G69*100)</f>
        <v>15.25902391668873</v>
      </c>
      <c r="L71" s="177"/>
      <c r="M71" s="172"/>
      <c r="N71" s="321" t="s">
        <v>5</v>
      </c>
      <c r="O71" s="456"/>
      <c r="P71" s="458" t="s">
        <v>122</v>
      </c>
      <c r="Q71" s="459"/>
      <c r="R71" s="459"/>
      <c r="S71" s="460"/>
      <c r="T71" s="109">
        <v>142538</v>
      </c>
      <c r="U71" s="40">
        <v>258823</v>
      </c>
      <c r="V71" s="106">
        <f t="shared" si="10"/>
        <v>-116285</v>
      </c>
      <c r="W71" s="11">
        <f t="shared" si="12"/>
        <v>-44.92838735351958</v>
      </c>
      <c r="X71" s="16">
        <f>SUM(T71/T69*100)</f>
        <v>13.740694968486766</v>
      </c>
    </row>
    <row r="72" spans="1:24" s="3" customFormat="1" ht="25.5" customHeight="1" thickBot="1">
      <c r="A72" s="98"/>
      <c r="B72" s="457"/>
      <c r="C72" s="461" t="s">
        <v>123</v>
      </c>
      <c r="D72" s="462"/>
      <c r="E72" s="462"/>
      <c r="F72" s="463"/>
      <c r="G72" s="198">
        <v>8697</v>
      </c>
      <c r="H72" s="104">
        <v>12085</v>
      </c>
      <c r="I72" s="107">
        <f t="shared" si="8"/>
        <v>-3388</v>
      </c>
      <c r="J72" s="42">
        <f>SUM(G72/H72*100)-100</f>
        <v>-28.03475382705834</v>
      </c>
      <c r="K72" s="44">
        <f>SUM(G72/G69*100)</f>
        <v>76.75403759597565</v>
      </c>
      <c r="L72" s="177"/>
      <c r="M72" s="172"/>
      <c r="N72" s="98"/>
      <c r="O72" s="457"/>
      <c r="P72" s="461" t="s">
        <v>123</v>
      </c>
      <c r="Q72" s="462"/>
      <c r="R72" s="462"/>
      <c r="S72" s="463"/>
      <c r="T72" s="198">
        <v>663949</v>
      </c>
      <c r="U72" s="104">
        <v>789610</v>
      </c>
      <c r="V72" s="107">
        <f t="shared" si="10"/>
        <v>-125661</v>
      </c>
      <c r="W72" s="42">
        <f t="shared" si="12"/>
        <v>-15.914312128772437</v>
      </c>
      <c r="X72" s="44">
        <f>SUM(T72/T69*100)</f>
        <v>64.00483157917061</v>
      </c>
    </row>
    <row r="73" spans="1:24" s="3" customFormat="1" ht="25.5" customHeight="1" thickTop="1">
      <c r="A73" s="256" t="s">
        <v>36</v>
      </c>
      <c r="B73" s="464" t="s">
        <v>88</v>
      </c>
      <c r="C73" s="465"/>
      <c r="D73" s="465"/>
      <c r="E73" s="465"/>
      <c r="F73" s="466"/>
      <c r="G73" s="201">
        <v>17314</v>
      </c>
      <c r="H73" s="110">
        <v>23798</v>
      </c>
      <c r="I73" s="111">
        <f aca="true" t="shared" si="13" ref="I73:I79">SUM(G73-H73)</f>
        <v>-6484</v>
      </c>
      <c r="J73" s="112">
        <f aca="true" t="shared" si="14" ref="J73:J79">SUM(G73/H73*100)-100</f>
        <v>-27.245987057735945</v>
      </c>
      <c r="K73" s="6">
        <f>SUM(G73/G73*100)</f>
        <v>100</v>
      </c>
      <c r="L73" s="177"/>
      <c r="M73" s="172"/>
      <c r="N73" s="256" t="s">
        <v>36</v>
      </c>
      <c r="O73" s="464" t="s">
        <v>88</v>
      </c>
      <c r="P73" s="465"/>
      <c r="Q73" s="465"/>
      <c r="R73" s="465"/>
      <c r="S73" s="466"/>
      <c r="T73" s="201">
        <v>1747079</v>
      </c>
      <c r="U73" s="110">
        <v>2155082</v>
      </c>
      <c r="V73" s="111">
        <f aca="true" t="shared" si="15" ref="V73:V79">SUM(T73-U73)</f>
        <v>-408003</v>
      </c>
      <c r="W73" s="112">
        <f aca="true" t="shared" si="16" ref="W73:W79">SUM(T73/U73*100)-100</f>
        <v>-18.932133440862103</v>
      </c>
      <c r="X73" s="9">
        <f>SUM(T73/T73*100)</f>
        <v>100</v>
      </c>
    </row>
    <row r="74" spans="1:24" s="3" customFormat="1" ht="25.5" customHeight="1">
      <c r="A74" s="62" t="s">
        <v>83</v>
      </c>
      <c r="B74" s="221"/>
      <c r="C74" s="261" t="s">
        <v>60</v>
      </c>
      <c r="D74" s="251"/>
      <c r="E74" s="258"/>
      <c r="F74" s="259"/>
      <c r="G74" s="54">
        <v>11323</v>
      </c>
      <c r="H74" s="55">
        <v>16744</v>
      </c>
      <c r="I74" s="18">
        <f t="shared" si="13"/>
        <v>-5421</v>
      </c>
      <c r="J74" s="11">
        <f t="shared" si="14"/>
        <v>-32.37577639751554</v>
      </c>
      <c r="K74" s="11">
        <f>SUM(G74/G73*100)</f>
        <v>65.39794386045973</v>
      </c>
      <c r="L74" s="177"/>
      <c r="M74" s="172"/>
      <c r="N74" s="62" t="s">
        <v>83</v>
      </c>
      <c r="O74" s="221"/>
      <c r="P74" s="261" t="s">
        <v>60</v>
      </c>
      <c r="Q74" s="251"/>
      <c r="R74" s="258"/>
      <c r="S74" s="259"/>
      <c r="T74" s="54">
        <v>1027892</v>
      </c>
      <c r="U74" s="55">
        <v>1329591</v>
      </c>
      <c r="V74" s="18">
        <f t="shared" si="15"/>
        <v>-301699</v>
      </c>
      <c r="W74" s="11">
        <f t="shared" si="16"/>
        <v>-22.69111328220484</v>
      </c>
      <c r="X74" s="16">
        <f>SUM(T74/T73*100)</f>
        <v>58.83488954992877</v>
      </c>
    </row>
    <row r="75" spans="1:24" s="3" customFormat="1" ht="25.5" customHeight="1">
      <c r="A75" s="98"/>
      <c r="B75" s="221"/>
      <c r="C75" s="262" t="s">
        <v>61</v>
      </c>
      <c r="D75" s="251"/>
      <c r="E75" s="263"/>
      <c r="F75" s="264"/>
      <c r="G75" s="54">
        <v>5991</v>
      </c>
      <c r="H75" s="55">
        <v>7054</v>
      </c>
      <c r="I75" s="18">
        <f t="shared" si="13"/>
        <v>-1063</v>
      </c>
      <c r="J75" s="11">
        <f t="shared" si="14"/>
        <v>-15.06946413382478</v>
      </c>
      <c r="K75" s="11">
        <f>SUM(G75/G73*100)</f>
        <v>34.60205613954025</v>
      </c>
      <c r="L75" s="177"/>
      <c r="M75" s="172"/>
      <c r="N75" s="98"/>
      <c r="O75" s="221"/>
      <c r="P75" s="262" t="s">
        <v>61</v>
      </c>
      <c r="Q75" s="251"/>
      <c r="R75" s="263"/>
      <c r="S75" s="264"/>
      <c r="T75" s="54">
        <v>719187</v>
      </c>
      <c r="U75" s="55">
        <v>825491</v>
      </c>
      <c r="V75" s="18">
        <f t="shared" si="15"/>
        <v>-106304</v>
      </c>
      <c r="W75" s="11">
        <f t="shared" si="16"/>
        <v>-12.877669169015775</v>
      </c>
      <c r="X75" s="16">
        <f>SUM(T75/T73*100)</f>
        <v>41.16511045007123</v>
      </c>
    </row>
    <row r="76" spans="1:24" s="3" customFormat="1" ht="25.5" customHeight="1" thickBot="1">
      <c r="A76" s="238"/>
      <c r="B76" s="265" t="s">
        <v>62</v>
      </c>
      <c r="C76" s="266"/>
      <c r="D76" s="267"/>
      <c r="E76" s="268"/>
      <c r="F76" s="269"/>
      <c r="G76" s="202">
        <v>38447</v>
      </c>
      <c r="H76" s="80">
        <v>34963</v>
      </c>
      <c r="I76" s="81">
        <f t="shared" si="13"/>
        <v>3484</v>
      </c>
      <c r="J76" s="82">
        <f t="shared" si="14"/>
        <v>9.964819952521225</v>
      </c>
      <c r="K76" s="114" t="s">
        <v>87</v>
      </c>
      <c r="L76" s="62"/>
      <c r="M76" s="178"/>
      <c r="N76" s="238"/>
      <c r="O76" s="265" t="s">
        <v>62</v>
      </c>
      <c r="P76" s="266"/>
      <c r="Q76" s="267"/>
      <c r="R76" s="268"/>
      <c r="S76" s="269"/>
      <c r="T76" s="202">
        <v>1502351</v>
      </c>
      <c r="U76" s="80">
        <v>1413727</v>
      </c>
      <c r="V76" s="81">
        <f t="shared" si="15"/>
        <v>88624</v>
      </c>
      <c r="W76" s="82">
        <f t="shared" si="16"/>
        <v>6.268819934824748</v>
      </c>
      <c r="X76" s="192" t="s">
        <v>87</v>
      </c>
    </row>
    <row r="77" spans="1:24" s="3" customFormat="1" ht="25.5" customHeight="1" thickTop="1">
      <c r="A77" s="467" t="s">
        <v>76</v>
      </c>
      <c r="B77" s="373" t="s">
        <v>3</v>
      </c>
      <c r="C77" s="374"/>
      <c r="D77" s="375"/>
      <c r="E77" s="376"/>
      <c r="F77" s="377"/>
      <c r="G77" s="115">
        <v>12494</v>
      </c>
      <c r="H77" s="186">
        <v>16183</v>
      </c>
      <c r="I77" s="116">
        <f t="shared" si="13"/>
        <v>-3689</v>
      </c>
      <c r="J77" s="37">
        <f t="shared" si="14"/>
        <v>-22.795526169437068</v>
      </c>
      <c r="K77" s="6">
        <f>SUM(G77/G77*100)</f>
        <v>100</v>
      </c>
      <c r="L77" s="177"/>
      <c r="M77" s="172"/>
      <c r="N77" s="467" t="s">
        <v>76</v>
      </c>
      <c r="O77" s="373" t="s">
        <v>3</v>
      </c>
      <c r="P77" s="374"/>
      <c r="Q77" s="375"/>
      <c r="R77" s="376"/>
      <c r="S77" s="377"/>
      <c r="T77" s="115">
        <v>1104330</v>
      </c>
      <c r="U77" s="186">
        <v>1676606</v>
      </c>
      <c r="V77" s="116">
        <f t="shared" si="15"/>
        <v>-572276</v>
      </c>
      <c r="W77" s="37">
        <f t="shared" si="16"/>
        <v>-34.133004414871465</v>
      </c>
      <c r="X77" s="9">
        <f>SUM(T77/T77*100)</f>
        <v>100</v>
      </c>
    </row>
    <row r="78" spans="1:24" s="3" customFormat="1" ht="25.5" customHeight="1">
      <c r="A78" s="468"/>
      <c r="B78" s="215"/>
      <c r="C78" s="122" t="s">
        <v>25</v>
      </c>
      <c r="D78" s="123"/>
      <c r="E78" s="123"/>
      <c r="F78" s="124"/>
      <c r="G78" s="203">
        <v>1206</v>
      </c>
      <c r="H78" s="204">
        <v>1824</v>
      </c>
      <c r="I78" s="10">
        <f t="shared" si="13"/>
        <v>-618</v>
      </c>
      <c r="J78" s="15">
        <f t="shared" si="14"/>
        <v>-33.881578947368425</v>
      </c>
      <c r="K78" s="11">
        <f>SUM(G78/G77*100)</f>
        <v>9.652633263966703</v>
      </c>
      <c r="L78" s="177"/>
      <c r="M78" s="172"/>
      <c r="N78" s="468"/>
      <c r="O78" s="215"/>
      <c r="P78" s="122" t="s">
        <v>25</v>
      </c>
      <c r="Q78" s="123"/>
      <c r="R78" s="123"/>
      <c r="S78" s="124"/>
      <c r="T78" s="203">
        <v>156777</v>
      </c>
      <c r="U78" s="204">
        <v>220152</v>
      </c>
      <c r="V78" s="10">
        <f t="shared" si="15"/>
        <v>-63375</v>
      </c>
      <c r="W78" s="15">
        <f t="shared" si="16"/>
        <v>-28.78692903085141</v>
      </c>
      <c r="X78" s="16">
        <f>SUM(T78/T77*100)</f>
        <v>14.19657167694439</v>
      </c>
    </row>
    <row r="79" spans="1:24" s="3" customFormat="1" ht="25.5" customHeight="1" thickBot="1">
      <c r="A79" s="250" t="s">
        <v>75</v>
      </c>
      <c r="B79" s="239"/>
      <c r="C79" s="260" t="s">
        <v>26</v>
      </c>
      <c r="D79" s="236"/>
      <c r="E79" s="236"/>
      <c r="F79" s="237"/>
      <c r="G79" s="238">
        <v>11288</v>
      </c>
      <c r="H79" s="324">
        <v>14359</v>
      </c>
      <c r="I79" s="325">
        <f t="shared" si="13"/>
        <v>-3071</v>
      </c>
      <c r="J79" s="326">
        <f t="shared" si="14"/>
        <v>-21.38728323699422</v>
      </c>
      <c r="K79" s="82">
        <f>SUM(G79/G77*100)</f>
        <v>90.3473667360333</v>
      </c>
      <c r="L79" s="177"/>
      <c r="M79" s="172"/>
      <c r="N79" s="250" t="s">
        <v>75</v>
      </c>
      <c r="O79" s="239"/>
      <c r="P79" s="260" t="s">
        <v>26</v>
      </c>
      <c r="Q79" s="236"/>
      <c r="R79" s="236"/>
      <c r="S79" s="237"/>
      <c r="T79" s="238">
        <v>947553</v>
      </c>
      <c r="U79" s="324">
        <v>1456454</v>
      </c>
      <c r="V79" s="325">
        <f t="shared" si="15"/>
        <v>-508901</v>
      </c>
      <c r="W79" s="326">
        <f t="shared" si="16"/>
        <v>-34.94109666354035</v>
      </c>
      <c r="X79" s="86">
        <f>SUM(T79/T77*100)</f>
        <v>85.80342832305561</v>
      </c>
    </row>
    <row r="80" spans="1:24" s="3" customFormat="1" ht="33" customHeight="1" thickTop="1">
      <c r="A80" s="469" t="s">
        <v>127</v>
      </c>
      <c r="B80" s="470"/>
      <c r="C80" s="470"/>
      <c r="D80" s="470"/>
      <c r="E80" s="470"/>
      <c r="F80" s="470"/>
      <c r="G80" s="470"/>
      <c r="H80" s="470"/>
      <c r="I80" s="470"/>
      <c r="J80" s="470"/>
      <c r="K80" s="470"/>
      <c r="L80" s="160"/>
      <c r="M80" s="160"/>
      <c r="N80" s="469" t="s">
        <v>127</v>
      </c>
      <c r="O80" s="470"/>
      <c r="P80" s="470"/>
      <c r="Q80" s="470"/>
      <c r="R80" s="470"/>
      <c r="S80" s="470"/>
      <c r="T80" s="470"/>
      <c r="U80" s="470"/>
      <c r="V80" s="470"/>
      <c r="W80" s="470"/>
      <c r="X80" s="470"/>
    </row>
    <row r="81" spans="1:24" s="3" customFormat="1" ht="33" customHeight="1">
      <c r="A81" s="154" t="s">
        <v>40</v>
      </c>
      <c r="B81" s="154"/>
      <c r="C81" s="154"/>
      <c r="D81" s="154"/>
      <c r="E81" s="154"/>
      <c r="F81" s="154"/>
      <c r="G81" s="154"/>
      <c r="H81" s="154"/>
      <c r="I81" s="154"/>
      <c r="J81" s="154"/>
      <c r="K81" s="154"/>
      <c r="L81" s="154"/>
      <c r="M81" s="154"/>
      <c r="N81" s="154" t="s">
        <v>40</v>
      </c>
      <c r="O81" s="154"/>
      <c r="P81" s="154"/>
      <c r="Q81" s="154"/>
      <c r="R81" s="154"/>
      <c r="S81" s="154"/>
      <c r="T81" s="154"/>
      <c r="U81" s="154"/>
      <c r="V81" s="154"/>
      <c r="W81" s="154"/>
      <c r="X81" s="154"/>
    </row>
    <row r="82" spans="1:24" s="3" customFormat="1" ht="27" customHeight="1">
      <c r="A82" s="381" t="str">
        <f>+A45</f>
        <v>2020年農林業センサス　農林業経営体調査　主要項目一覧表　（ 富 山 県 ）</v>
      </c>
      <c r="B82" s="382"/>
      <c r="C82" s="382"/>
      <c r="D82" s="382"/>
      <c r="E82" s="382"/>
      <c r="F82" s="382"/>
      <c r="G82" s="382"/>
      <c r="H82" s="382"/>
      <c r="I82" s="382"/>
      <c r="J82" s="382"/>
      <c r="K82" s="382"/>
      <c r="L82" s="147"/>
      <c r="M82" s="147"/>
      <c r="N82" s="381" t="str">
        <f>+N45</f>
        <v>2020年農林業センサス　農林業経営体調査　主要項目一覧表　　（ 全　 国 ）</v>
      </c>
      <c r="O82" s="382"/>
      <c r="P82" s="382"/>
      <c r="Q82" s="382"/>
      <c r="R82" s="382"/>
      <c r="S82" s="382"/>
      <c r="T82" s="382"/>
      <c r="U82" s="382"/>
      <c r="V82" s="382"/>
      <c r="W82" s="382"/>
      <c r="X82" s="382"/>
    </row>
    <row r="83" spans="1:24" s="3" customFormat="1" ht="27" customHeight="1" thickBot="1">
      <c r="A83" s="196"/>
      <c r="B83" s="196"/>
      <c r="C83" s="196"/>
      <c r="D83" s="196"/>
      <c r="E83" s="196"/>
      <c r="F83" s="196"/>
      <c r="G83" s="148"/>
      <c r="H83" s="148"/>
      <c r="I83" s="148"/>
      <c r="J83" s="148"/>
      <c r="K83" s="293">
        <f>+K46</f>
        <v>44313</v>
      </c>
      <c r="L83" s="149"/>
      <c r="M83" s="148"/>
      <c r="N83" s="148"/>
      <c r="O83" s="148"/>
      <c r="P83" s="148"/>
      <c r="Q83" s="148"/>
      <c r="R83" s="148"/>
      <c r="S83" s="148"/>
      <c r="T83" s="148"/>
      <c r="U83" s="148"/>
      <c r="V83" s="150"/>
      <c r="W83" s="150"/>
      <c r="X83" s="293">
        <f>+X46</f>
        <v>44313</v>
      </c>
    </row>
    <row r="84" spans="1:24" s="3" customFormat="1" ht="22.5" customHeight="1">
      <c r="A84" s="383" t="s">
        <v>86</v>
      </c>
      <c r="B84" s="384"/>
      <c r="C84" s="384"/>
      <c r="D84" s="384"/>
      <c r="E84" s="384"/>
      <c r="F84" s="384"/>
      <c r="G84" s="387" t="s">
        <v>65</v>
      </c>
      <c r="H84" s="388"/>
      <c r="I84" s="388"/>
      <c r="J84" s="388"/>
      <c r="K84" s="389"/>
      <c r="L84" s="170"/>
      <c r="M84" s="173"/>
      <c r="N84" s="383" t="s">
        <v>86</v>
      </c>
      <c r="O84" s="384"/>
      <c r="P84" s="384"/>
      <c r="Q84" s="384"/>
      <c r="R84" s="384"/>
      <c r="S84" s="384"/>
      <c r="T84" s="387" t="s">
        <v>72</v>
      </c>
      <c r="U84" s="388"/>
      <c r="V84" s="388"/>
      <c r="W84" s="388"/>
      <c r="X84" s="389"/>
    </row>
    <row r="85" spans="1:24" s="3" customFormat="1" ht="22.5" customHeight="1">
      <c r="A85" s="385"/>
      <c r="B85" s="386"/>
      <c r="C85" s="386"/>
      <c r="D85" s="386"/>
      <c r="E85" s="386"/>
      <c r="F85" s="386"/>
      <c r="G85" s="92" t="str">
        <f>+G48</f>
        <v>令2（今回）</v>
      </c>
      <c r="H85" s="93" t="str">
        <f>+H48</f>
        <v>平27（前回）</v>
      </c>
      <c r="I85" s="94" t="s">
        <v>21</v>
      </c>
      <c r="J85" s="94" t="s">
        <v>12</v>
      </c>
      <c r="K85" s="152" t="s">
        <v>39</v>
      </c>
      <c r="L85" s="169"/>
      <c r="M85" s="174"/>
      <c r="N85" s="385"/>
      <c r="O85" s="386"/>
      <c r="P85" s="386"/>
      <c r="Q85" s="386"/>
      <c r="R85" s="386"/>
      <c r="S85" s="386"/>
      <c r="T85" s="92" t="str">
        <f>+T48</f>
        <v>令2（今回）</v>
      </c>
      <c r="U85" s="94" t="str">
        <f>+U48</f>
        <v>平27（前回）</v>
      </c>
      <c r="V85" s="94" t="s">
        <v>21</v>
      </c>
      <c r="W85" s="151" t="s">
        <v>12</v>
      </c>
      <c r="X85" s="152" t="s">
        <v>39</v>
      </c>
    </row>
    <row r="86" spans="1:24" s="3" customFormat="1" ht="24.75" customHeight="1" thickBot="1">
      <c r="A86" s="396" t="s">
        <v>81</v>
      </c>
      <c r="B86" s="397"/>
      <c r="C86" s="397"/>
      <c r="D86" s="397"/>
      <c r="E86" s="397"/>
      <c r="F86" s="398"/>
      <c r="G86" s="95" t="s">
        <v>47</v>
      </c>
      <c r="H86" s="96" t="s">
        <v>48</v>
      </c>
      <c r="I86" s="97" t="s">
        <v>49</v>
      </c>
      <c r="J86" s="97" t="s">
        <v>50</v>
      </c>
      <c r="K86" s="153" t="s">
        <v>91</v>
      </c>
      <c r="L86" s="169"/>
      <c r="M86" s="174"/>
      <c r="N86" s="396" t="s">
        <v>81</v>
      </c>
      <c r="O86" s="397"/>
      <c r="P86" s="397"/>
      <c r="Q86" s="397"/>
      <c r="R86" s="397"/>
      <c r="S86" s="398"/>
      <c r="T86" s="95" t="s">
        <v>52</v>
      </c>
      <c r="U86" s="97" t="s">
        <v>53</v>
      </c>
      <c r="V86" s="97" t="s">
        <v>54</v>
      </c>
      <c r="W86" s="97" t="s">
        <v>55</v>
      </c>
      <c r="X86" s="153" t="s">
        <v>91</v>
      </c>
    </row>
    <row r="87" spans="1:24" s="3" customFormat="1" ht="22.5" customHeight="1" thickTop="1">
      <c r="A87" s="467" t="s">
        <v>77</v>
      </c>
      <c r="B87" s="373" t="s">
        <v>3</v>
      </c>
      <c r="C87" s="374"/>
      <c r="D87" s="375"/>
      <c r="E87" s="376"/>
      <c r="F87" s="377"/>
      <c r="G87" s="288">
        <v>11258</v>
      </c>
      <c r="H87" s="283">
        <v>15180</v>
      </c>
      <c r="I87" s="117">
        <f aca="true" t="shared" si="17" ref="I87:I116">SUM(G87-H87)</f>
        <v>-3922</v>
      </c>
      <c r="J87" s="32">
        <f aca="true" t="shared" si="18" ref="J87:J93">SUM(G87/H87*100)-100</f>
        <v>-25.83662714097497</v>
      </c>
      <c r="K87" s="158">
        <f>SUM(G87/G87*100)</f>
        <v>100</v>
      </c>
      <c r="L87" s="184"/>
      <c r="M87" s="180"/>
      <c r="N87" s="467" t="s">
        <v>77</v>
      </c>
      <c r="O87" s="373" t="s">
        <v>3</v>
      </c>
      <c r="P87" s="374"/>
      <c r="Q87" s="375"/>
      <c r="R87" s="376"/>
      <c r="S87" s="377"/>
      <c r="T87" s="288">
        <v>1363038</v>
      </c>
      <c r="U87" s="283">
        <v>1756768</v>
      </c>
      <c r="V87" s="117">
        <f aca="true" t="shared" si="19" ref="V87:V116">SUM(T87-U87)</f>
        <v>-393730</v>
      </c>
      <c r="W87" s="32">
        <f aca="true" t="shared" si="20" ref="W87:W93">SUM(T87/U87*100)-100</f>
        <v>-22.412179638973384</v>
      </c>
      <c r="X87" s="194">
        <f>SUM(T87/T87*100)</f>
        <v>100</v>
      </c>
    </row>
    <row r="88" spans="1:24" s="3" customFormat="1" ht="15" customHeight="1">
      <c r="A88" s="468"/>
      <c r="B88" s="248"/>
      <c r="C88" s="257" t="s">
        <v>63</v>
      </c>
      <c r="D88" s="271"/>
      <c r="E88" s="123"/>
      <c r="F88" s="124"/>
      <c r="G88" s="127">
        <f>3+15+27</f>
        <v>45</v>
      </c>
      <c r="H88" s="282">
        <f>1+21+39</f>
        <v>61</v>
      </c>
      <c r="I88" s="22">
        <f t="shared" si="17"/>
        <v>-16</v>
      </c>
      <c r="J88" s="156">
        <f t="shared" si="18"/>
        <v>-26.229508196721312</v>
      </c>
      <c r="K88" s="157">
        <f>SUM(G88/G87*100)</f>
        <v>0.3997157576834251</v>
      </c>
      <c r="L88" s="183"/>
      <c r="M88" s="179"/>
      <c r="N88" s="468"/>
      <c r="O88" s="248"/>
      <c r="P88" s="257" t="s">
        <v>63</v>
      </c>
      <c r="Q88" s="271"/>
      <c r="R88" s="123"/>
      <c r="S88" s="124"/>
      <c r="T88" s="127">
        <f>607+4661+10796</f>
        <v>16064</v>
      </c>
      <c r="U88" s="282">
        <f>756+6590+16705</f>
        <v>24051</v>
      </c>
      <c r="V88" s="22">
        <f t="shared" si="19"/>
        <v>-7987</v>
      </c>
      <c r="W88" s="156">
        <f t="shared" si="20"/>
        <v>-33.20859839507713</v>
      </c>
      <c r="X88" s="193">
        <f>SUM(T88/T87*100)</f>
        <v>1.1785438116912368</v>
      </c>
    </row>
    <row r="89" spans="1:24" s="3" customFormat="1" ht="15" customHeight="1">
      <c r="A89" s="240" t="s">
        <v>75</v>
      </c>
      <c r="B89" s="248"/>
      <c r="C89" s="257" t="s">
        <v>42</v>
      </c>
      <c r="D89" s="271"/>
      <c r="E89" s="123"/>
      <c r="F89" s="124"/>
      <c r="G89" s="127">
        <f>72+98</f>
        <v>170</v>
      </c>
      <c r="H89" s="282">
        <f>77+121</f>
        <v>198</v>
      </c>
      <c r="I89" s="22">
        <f t="shared" si="17"/>
        <v>-28</v>
      </c>
      <c r="J89" s="156">
        <f t="shared" si="18"/>
        <v>-14.141414141414145</v>
      </c>
      <c r="K89" s="157">
        <f>SUM(G89/G87*100)</f>
        <v>1.5100373068040505</v>
      </c>
      <c r="L89" s="183"/>
      <c r="M89" s="179"/>
      <c r="N89" s="240" t="s">
        <v>75</v>
      </c>
      <c r="O89" s="248"/>
      <c r="P89" s="257" t="s">
        <v>42</v>
      </c>
      <c r="Q89" s="271"/>
      <c r="R89" s="123"/>
      <c r="S89" s="124"/>
      <c r="T89" s="127">
        <f>20252+30219</f>
        <v>50471</v>
      </c>
      <c r="U89" s="282">
        <f>26010+33676</f>
        <v>59686</v>
      </c>
      <c r="V89" s="22">
        <f t="shared" si="19"/>
        <v>-9215</v>
      </c>
      <c r="W89" s="156">
        <f t="shared" si="20"/>
        <v>-15.439131454612479</v>
      </c>
      <c r="X89" s="193">
        <f>SUM(T89/T87*100)</f>
        <v>3.7028314691153144</v>
      </c>
    </row>
    <row r="90" spans="1:24" s="3" customFormat="1" ht="15" customHeight="1">
      <c r="A90" s="240"/>
      <c r="B90" s="248"/>
      <c r="C90" s="257" t="s">
        <v>43</v>
      </c>
      <c r="D90" s="271"/>
      <c r="E90" s="123"/>
      <c r="F90" s="124"/>
      <c r="G90" s="127">
        <f>152+176</f>
        <v>328</v>
      </c>
      <c r="H90" s="282">
        <f>145+175</f>
        <v>320</v>
      </c>
      <c r="I90" s="22">
        <f t="shared" si="17"/>
        <v>8</v>
      </c>
      <c r="J90" s="156">
        <f t="shared" si="18"/>
        <v>2.499999999999986</v>
      </c>
      <c r="K90" s="157">
        <f>SUM(G90/G87*100)</f>
        <v>2.913483744892521</v>
      </c>
      <c r="L90" s="183"/>
      <c r="M90" s="179"/>
      <c r="N90" s="240"/>
      <c r="O90" s="248"/>
      <c r="P90" s="257" t="s">
        <v>43</v>
      </c>
      <c r="Q90" s="271"/>
      <c r="R90" s="123"/>
      <c r="S90" s="124"/>
      <c r="T90" s="127">
        <f>37702+43231</f>
        <v>80933</v>
      </c>
      <c r="U90" s="282">
        <f>40756+49548</f>
        <v>90304</v>
      </c>
      <c r="V90" s="22">
        <f t="shared" si="19"/>
        <v>-9371</v>
      </c>
      <c r="W90" s="156">
        <f t="shared" si="20"/>
        <v>-10.377170446491846</v>
      </c>
      <c r="X90" s="193">
        <f>SUM(T90/T87*100)</f>
        <v>5.937692125971543</v>
      </c>
    </row>
    <row r="91" spans="1:24" s="3" customFormat="1" ht="15" customHeight="1">
      <c r="A91" s="240"/>
      <c r="B91" s="248"/>
      <c r="C91" s="257" t="s">
        <v>44</v>
      </c>
      <c r="D91" s="271"/>
      <c r="E91" s="123"/>
      <c r="F91" s="124"/>
      <c r="G91" s="127">
        <f>211+248</f>
        <v>459</v>
      </c>
      <c r="H91" s="282">
        <f>211+452</f>
        <v>663</v>
      </c>
      <c r="I91" s="22">
        <f t="shared" si="17"/>
        <v>-204</v>
      </c>
      <c r="J91" s="156">
        <f t="shared" si="18"/>
        <v>-30.769230769230774</v>
      </c>
      <c r="K91" s="157">
        <f>SUM(G91/G87*100)</f>
        <v>4.077100728370936</v>
      </c>
      <c r="L91" s="183"/>
      <c r="M91" s="179"/>
      <c r="N91" s="240"/>
      <c r="O91" s="248"/>
      <c r="P91" s="257" t="s">
        <v>44</v>
      </c>
      <c r="Q91" s="271"/>
      <c r="R91" s="123"/>
      <c r="S91" s="124"/>
      <c r="T91" s="127">
        <f>50169+76733</f>
        <v>126902</v>
      </c>
      <c r="U91" s="282">
        <f>76064+124790</f>
        <v>200854</v>
      </c>
      <c r="V91" s="22">
        <f t="shared" si="19"/>
        <v>-73952</v>
      </c>
      <c r="W91" s="156">
        <f t="shared" si="20"/>
        <v>-36.818783793203025</v>
      </c>
      <c r="X91" s="193">
        <f>SUM(T91/T87*100)</f>
        <v>9.310231996466717</v>
      </c>
    </row>
    <row r="92" spans="1:24" s="3" customFormat="1" ht="15" customHeight="1">
      <c r="A92" s="240"/>
      <c r="B92" s="248"/>
      <c r="C92" s="257" t="s">
        <v>45</v>
      </c>
      <c r="D92" s="271"/>
      <c r="E92" s="123"/>
      <c r="F92" s="124"/>
      <c r="G92" s="127">
        <v>776</v>
      </c>
      <c r="H92" s="282">
        <v>1686</v>
      </c>
      <c r="I92" s="22">
        <f t="shared" si="17"/>
        <v>-910</v>
      </c>
      <c r="J92" s="156">
        <f t="shared" si="18"/>
        <v>-53.97390272835113</v>
      </c>
      <c r="K92" s="157">
        <f>SUM(G92/G87*100)</f>
        <v>6.892876176940842</v>
      </c>
      <c r="L92" s="183"/>
      <c r="M92" s="179"/>
      <c r="N92" s="240"/>
      <c r="O92" s="248"/>
      <c r="P92" s="257" t="s">
        <v>45</v>
      </c>
      <c r="Q92" s="271"/>
      <c r="R92" s="123"/>
      <c r="S92" s="124"/>
      <c r="T92" s="127">
        <v>140047</v>
      </c>
      <c r="U92" s="282">
        <v>241833</v>
      </c>
      <c r="V92" s="22">
        <f t="shared" si="19"/>
        <v>-101786</v>
      </c>
      <c r="W92" s="156">
        <f t="shared" si="20"/>
        <v>-42.0893757262243</v>
      </c>
      <c r="X92" s="193">
        <f>SUM(T92/T87*100)</f>
        <v>10.274621837395582</v>
      </c>
    </row>
    <row r="93" spans="1:24" s="3" customFormat="1" ht="15" customHeight="1">
      <c r="A93" s="323"/>
      <c r="B93" s="248"/>
      <c r="C93" s="257" t="s">
        <v>46</v>
      </c>
      <c r="D93" s="271"/>
      <c r="E93" s="123"/>
      <c r="F93" s="124"/>
      <c r="G93" s="127">
        <f>2201+3051+2071+1330+827</f>
        <v>9480</v>
      </c>
      <c r="H93" s="282">
        <f>3562+3432+2732+1822+704</f>
        <v>12252</v>
      </c>
      <c r="I93" s="22">
        <f t="shared" si="17"/>
        <v>-2772</v>
      </c>
      <c r="J93" s="156">
        <f t="shared" si="18"/>
        <v>-22.624877571008824</v>
      </c>
      <c r="K93" s="157">
        <f>SUM(G93/G87*100)</f>
        <v>84.20678628530823</v>
      </c>
      <c r="L93" s="183"/>
      <c r="M93" s="179"/>
      <c r="N93" s="323"/>
      <c r="O93" s="248"/>
      <c r="P93" s="257" t="s">
        <v>46</v>
      </c>
      <c r="Q93" s="271"/>
      <c r="R93" s="123"/>
      <c r="S93" s="124"/>
      <c r="T93" s="127">
        <f>252668+264193+196217+144412+91131</f>
        <v>948621</v>
      </c>
      <c r="U93" s="282">
        <f>305596+284900+274508+188340+86696</f>
        <v>1140040</v>
      </c>
      <c r="V93" s="22">
        <f t="shared" si="19"/>
        <v>-191419</v>
      </c>
      <c r="W93" s="156">
        <f t="shared" si="20"/>
        <v>-16.790551208729525</v>
      </c>
      <c r="X93" s="193">
        <f>SUM(T93/T87*100)</f>
        <v>69.5960787593596</v>
      </c>
    </row>
    <row r="94" spans="1:24" s="3" customFormat="1" ht="22.5" customHeight="1" thickBot="1">
      <c r="A94" s="240"/>
      <c r="B94" s="265"/>
      <c r="C94" s="471" t="s">
        <v>18</v>
      </c>
      <c r="D94" s="472"/>
      <c r="E94" s="472"/>
      <c r="F94" s="473"/>
      <c r="G94" s="205">
        <v>71.3</v>
      </c>
      <c r="H94" s="289">
        <v>70.5</v>
      </c>
      <c r="I94" s="118">
        <f t="shared" si="17"/>
        <v>0.7999999999999972</v>
      </c>
      <c r="J94" s="119" t="s">
        <v>87</v>
      </c>
      <c r="K94" s="159" t="s">
        <v>87</v>
      </c>
      <c r="L94" s="155"/>
      <c r="M94" s="181"/>
      <c r="N94" s="240"/>
      <c r="O94" s="265"/>
      <c r="P94" s="471" t="s">
        <v>18</v>
      </c>
      <c r="Q94" s="472"/>
      <c r="R94" s="472"/>
      <c r="S94" s="473"/>
      <c r="T94" s="205">
        <v>67.8</v>
      </c>
      <c r="U94" s="289">
        <v>67</v>
      </c>
      <c r="V94" s="118">
        <f t="shared" si="19"/>
        <v>0.7999999999999972</v>
      </c>
      <c r="W94" s="119" t="s">
        <v>87</v>
      </c>
      <c r="X94" s="195" t="s">
        <v>87</v>
      </c>
    </row>
    <row r="95" spans="1:24" s="3" customFormat="1" ht="27" customHeight="1" thickTop="1">
      <c r="A95" s="370" t="s">
        <v>78</v>
      </c>
      <c r="B95" s="373" t="s">
        <v>3</v>
      </c>
      <c r="C95" s="374"/>
      <c r="D95" s="375"/>
      <c r="E95" s="376"/>
      <c r="F95" s="377"/>
      <c r="G95" s="206">
        <v>49381</v>
      </c>
      <c r="H95" s="207">
        <v>50984</v>
      </c>
      <c r="I95" s="111">
        <f t="shared" si="17"/>
        <v>-1603</v>
      </c>
      <c r="J95" s="112">
        <f aca="true" t="shared" si="21" ref="J95:J116">SUM(G95/H95*100)-100</f>
        <v>-3.1441236466342275</v>
      </c>
      <c r="K95" s="9">
        <f>SUM(G95/G95*100)</f>
        <v>100</v>
      </c>
      <c r="L95" s="89"/>
      <c r="M95" s="172"/>
      <c r="N95" s="370" t="s">
        <v>78</v>
      </c>
      <c r="O95" s="373" t="s">
        <v>3</v>
      </c>
      <c r="P95" s="374"/>
      <c r="Q95" s="375"/>
      <c r="R95" s="376"/>
      <c r="S95" s="377"/>
      <c r="T95" s="120">
        <v>3232882</v>
      </c>
      <c r="U95" s="121">
        <v>3451444</v>
      </c>
      <c r="V95" s="113">
        <f t="shared" si="19"/>
        <v>-218562</v>
      </c>
      <c r="W95" s="112">
        <f aca="true" t="shared" si="22" ref="W95:W116">SUM(T95/U95*100)-100</f>
        <v>-6.332479970702124</v>
      </c>
      <c r="X95" s="9">
        <f>SUM(T95/T95*100)</f>
        <v>100</v>
      </c>
    </row>
    <row r="96" spans="1:24" s="3" customFormat="1" ht="25.5" customHeight="1">
      <c r="A96" s="474"/>
      <c r="B96" s="272"/>
      <c r="C96" s="122" t="s">
        <v>28</v>
      </c>
      <c r="D96" s="123"/>
      <c r="E96" s="123"/>
      <c r="F96" s="124"/>
      <c r="G96" s="125">
        <v>47806</v>
      </c>
      <c r="H96" s="126">
        <v>49417</v>
      </c>
      <c r="I96" s="18">
        <f t="shared" si="17"/>
        <v>-1611</v>
      </c>
      <c r="J96" s="11">
        <f t="shared" si="21"/>
        <v>-3.2600117368516806</v>
      </c>
      <c r="K96" s="16">
        <f>SUM(G96/G95*100)</f>
        <v>96.81051416536725</v>
      </c>
      <c r="L96" s="89"/>
      <c r="M96" s="172"/>
      <c r="N96" s="474"/>
      <c r="O96" s="272"/>
      <c r="P96" s="122" t="s">
        <v>28</v>
      </c>
      <c r="Q96" s="123"/>
      <c r="R96" s="123"/>
      <c r="S96" s="124"/>
      <c r="T96" s="127">
        <v>1784900</v>
      </c>
      <c r="U96" s="128">
        <v>1947029</v>
      </c>
      <c r="V96" s="10">
        <f t="shared" si="19"/>
        <v>-162129</v>
      </c>
      <c r="W96" s="15">
        <f t="shared" si="22"/>
        <v>-8.326994615899409</v>
      </c>
      <c r="X96" s="16">
        <f>SUM(T96/T95*100)</f>
        <v>55.21079952809907</v>
      </c>
    </row>
    <row r="97" spans="1:24" s="3" customFormat="1" ht="24.75" customHeight="1">
      <c r="A97" s="276" t="s">
        <v>84</v>
      </c>
      <c r="B97" s="272"/>
      <c r="C97" s="122" t="s">
        <v>29</v>
      </c>
      <c r="D97" s="123"/>
      <c r="E97" s="123"/>
      <c r="F97" s="124"/>
      <c r="G97" s="125">
        <v>1164</v>
      </c>
      <c r="H97" s="126">
        <v>1082</v>
      </c>
      <c r="I97" s="18">
        <f t="shared" si="17"/>
        <v>82</v>
      </c>
      <c r="J97" s="11">
        <f t="shared" si="21"/>
        <v>7.578558225508331</v>
      </c>
      <c r="K97" s="16">
        <f>SUM(G97/G95*100)</f>
        <v>2.357181912071445</v>
      </c>
      <c r="L97" s="89"/>
      <c r="M97" s="172"/>
      <c r="N97" s="276" t="s">
        <v>84</v>
      </c>
      <c r="O97" s="272"/>
      <c r="P97" s="122" t="s">
        <v>29</v>
      </c>
      <c r="Q97" s="123"/>
      <c r="R97" s="123"/>
      <c r="S97" s="124"/>
      <c r="T97" s="127">
        <v>1288829</v>
      </c>
      <c r="U97" s="128">
        <v>1315767</v>
      </c>
      <c r="V97" s="10">
        <f t="shared" si="19"/>
        <v>-26938</v>
      </c>
      <c r="W97" s="15">
        <f t="shared" si="22"/>
        <v>-2.0473229682763048</v>
      </c>
      <c r="X97" s="16">
        <f>SUM(T97/T95*100)</f>
        <v>39.866255557734554</v>
      </c>
    </row>
    <row r="98" spans="1:24" s="3" customFormat="1" ht="24.75" customHeight="1">
      <c r="A98" s="270"/>
      <c r="B98" s="272"/>
      <c r="C98" s="122" t="s">
        <v>30</v>
      </c>
      <c r="D98" s="123"/>
      <c r="E98" s="123"/>
      <c r="F98" s="124"/>
      <c r="G98" s="125">
        <v>411</v>
      </c>
      <c r="H98" s="126">
        <v>486</v>
      </c>
      <c r="I98" s="18">
        <f t="shared" si="17"/>
        <v>-75</v>
      </c>
      <c r="J98" s="11">
        <f t="shared" si="21"/>
        <v>-15.432098765432102</v>
      </c>
      <c r="K98" s="16">
        <f>SUM(G98/G95*100)</f>
        <v>0.832303922561309</v>
      </c>
      <c r="L98" s="89"/>
      <c r="M98" s="172"/>
      <c r="N98" s="270"/>
      <c r="O98" s="272"/>
      <c r="P98" s="122" t="s">
        <v>30</v>
      </c>
      <c r="Q98" s="123"/>
      <c r="R98" s="123"/>
      <c r="S98" s="124"/>
      <c r="T98" s="127">
        <v>159154</v>
      </c>
      <c r="U98" s="128">
        <v>188648</v>
      </c>
      <c r="V98" s="10">
        <f t="shared" si="19"/>
        <v>-29494</v>
      </c>
      <c r="W98" s="15">
        <f t="shared" si="22"/>
        <v>-15.634409058140037</v>
      </c>
      <c r="X98" s="16">
        <f>SUM(T98/T95*100)</f>
        <v>4.922975846319167</v>
      </c>
    </row>
    <row r="99" spans="1:24" s="3" customFormat="1" ht="24.75" customHeight="1">
      <c r="A99" s="270"/>
      <c r="B99" s="272"/>
      <c r="C99" s="475" t="s">
        <v>92</v>
      </c>
      <c r="D99" s="476"/>
      <c r="E99" s="476"/>
      <c r="F99" s="477"/>
      <c r="G99" s="208">
        <f>+G95/(G57-G58)</f>
        <v>4.042652476463365</v>
      </c>
      <c r="H99" s="209">
        <v>2.9</v>
      </c>
      <c r="I99" s="129">
        <f t="shared" si="17"/>
        <v>1.1426524764633652</v>
      </c>
      <c r="J99" s="15">
        <f t="shared" si="21"/>
        <v>39.401809533219506</v>
      </c>
      <c r="K99" s="131" t="s">
        <v>87</v>
      </c>
      <c r="L99" s="171"/>
      <c r="M99" s="178"/>
      <c r="N99" s="270"/>
      <c r="O99" s="272"/>
      <c r="P99" s="475" t="s">
        <v>92</v>
      </c>
      <c r="Q99" s="476"/>
      <c r="R99" s="476"/>
      <c r="S99" s="477"/>
      <c r="T99" s="277">
        <f>+T95/(T57-T58)</f>
        <v>3.0534779561635657</v>
      </c>
      <c r="U99" s="280">
        <v>2.54</v>
      </c>
      <c r="V99" s="130">
        <f t="shared" si="19"/>
        <v>0.5134779561635656</v>
      </c>
      <c r="W99" s="15">
        <f t="shared" si="22"/>
        <v>20.215667565494712</v>
      </c>
      <c r="X99" s="131" t="s">
        <v>87</v>
      </c>
    </row>
    <row r="100" spans="1:24" s="3" customFormat="1" ht="24.75" customHeight="1" thickBot="1">
      <c r="A100" s="273"/>
      <c r="B100" s="274"/>
      <c r="C100" s="478" t="s">
        <v>17</v>
      </c>
      <c r="D100" s="479"/>
      <c r="E100" s="479"/>
      <c r="F100" s="480"/>
      <c r="G100" s="210">
        <v>35260</v>
      </c>
      <c r="H100" s="211">
        <v>29977</v>
      </c>
      <c r="I100" s="132">
        <f t="shared" si="17"/>
        <v>5283</v>
      </c>
      <c r="J100" s="133">
        <f t="shared" si="21"/>
        <v>17.623511358708342</v>
      </c>
      <c r="K100" s="86">
        <f>SUM(G100/G95*100)</f>
        <v>71.40398128834977</v>
      </c>
      <c r="L100" s="89"/>
      <c r="M100" s="172"/>
      <c r="N100" s="273"/>
      <c r="O100" s="274"/>
      <c r="P100" s="478" t="s">
        <v>17</v>
      </c>
      <c r="Q100" s="479"/>
      <c r="R100" s="479"/>
      <c r="S100" s="480"/>
      <c r="T100" s="278">
        <v>1257126</v>
      </c>
      <c r="U100" s="281">
        <v>1164135</v>
      </c>
      <c r="V100" s="134">
        <f t="shared" si="19"/>
        <v>92991</v>
      </c>
      <c r="W100" s="133">
        <f t="shared" si="22"/>
        <v>7.987991083508362</v>
      </c>
      <c r="X100" s="86">
        <f>SUM(T100/T95*100)</f>
        <v>38.88561351759823</v>
      </c>
    </row>
    <row r="101" spans="1:24" s="3" customFormat="1" ht="25.5" customHeight="1" thickTop="1">
      <c r="A101" s="370" t="s">
        <v>89</v>
      </c>
      <c r="B101" s="373" t="s">
        <v>3</v>
      </c>
      <c r="C101" s="374"/>
      <c r="D101" s="375"/>
      <c r="E101" s="376"/>
      <c r="F101" s="377"/>
      <c r="G101" s="286">
        <v>49381</v>
      </c>
      <c r="H101" s="290">
        <v>50984.42</v>
      </c>
      <c r="I101" s="135">
        <f t="shared" si="17"/>
        <v>-1603.4199999999983</v>
      </c>
      <c r="J101" s="136">
        <f t="shared" si="21"/>
        <v>-3.1449215270076536</v>
      </c>
      <c r="K101" s="28">
        <f>SUM(G101/G101*100)</f>
        <v>100</v>
      </c>
      <c r="L101" s="89"/>
      <c r="M101" s="172"/>
      <c r="N101" s="370" t="s">
        <v>89</v>
      </c>
      <c r="O101" s="373" t="s">
        <v>3</v>
      </c>
      <c r="P101" s="374"/>
      <c r="Q101" s="375"/>
      <c r="R101" s="376"/>
      <c r="S101" s="377"/>
      <c r="T101" s="284">
        <v>3232882</v>
      </c>
      <c r="U101" s="285">
        <v>3451444</v>
      </c>
      <c r="V101" s="137">
        <f t="shared" si="19"/>
        <v>-218562</v>
      </c>
      <c r="W101" s="136">
        <f t="shared" si="22"/>
        <v>-6.332479970702124</v>
      </c>
      <c r="X101" s="38">
        <f>SUM(T101/T101*100)</f>
        <v>100</v>
      </c>
    </row>
    <row r="102" spans="1:24" s="3" customFormat="1" ht="15" customHeight="1">
      <c r="A102" s="474"/>
      <c r="B102" s="215"/>
      <c r="C102" s="437" t="s">
        <v>66</v>
      </c>
      <c r="D102" s="438"/>
      <c r="E102" s="438"/>
      <c r="F102" s="439"/>
      <c r="G102" s="164">
        <f>25+597+2471</f>
        <v>3093</v>
      </c>
      <c r="H102" s="165">
        <v>4682.55</v>
      </c>
      <c r="I102" s="162">
        <f t="shared" si="17"/>
        <v>-1589.5500000000002</v>
      </c>
      <c r="J102" s="108">
        <f t="shared" si="21"/>
        <v>-33.94624723708236</v>
      </c>
      <c r="K102" s="16">
        <f>SUM(G102/G101*100)</f>
        <v>6.26354265810737</v>
      </c>
      <c r="L102" s="89"/>
      <c r="M102" s="172"/>
      <c r="N102" s="474"/>
      <c r="O102" s="215"/>
      <c r="P102" s="437" t="s">
        <v>66</v>
      </c>
      <c r="Q102" s="438"/>
      <c r="R102" s="438"/>
      <c r="S102" s="439"/>
      <c r="T102" s="279">
        <f>6715+73982+222190</f>
        <v>302887</v>
      </c>
      <c r="U102" s="165">
        <v>410996</v>
      </c>
      <c r="V102" s="22">
        <f t="shared" si="19"/>
        <v>-108109</v>
      </c>
      <c r="W102" s="11">
        <f t="shared" si="22"/>
        <v>-26.30414894548852</v>
      </c>
      <c r="X102" s="16">
        <f>SUM(T102/T101*100)</f>
        <v>9.368946964349457</v>
      </c>
    </row>
    <row r="103" spans="1:24" s="3" customFormat="1" ht="15" customHeight="1">
      <c r="A103" s="62" t="s">
        <v>84</v>
      </c>
      <c r="B103" s="215"/>
      <c r="C103" s="481">
        <v>1</v>
      </c>
      <c r="D103" s="482"/>
      <c r="E103" s="251" t="s">
        <v>14</v>
      </c>
      <c r="F103" s="252" t="s">
        <v>57</v>
      </c>
      <c r="G103" s="164">
        <f>2869+2573</f>
        <v>5442</v>
      </c>
      <c r="H103" s="165">
        <v>8456.26</v>
      </c>
      <c r="I103" s="162">
        <f t="shared" si="17"/>
        <v>-3014.26</v>
      </c>
      <c r="J103" s="108">
        <f t="shared" si="21"/>
        <v>-35.645308919072974</v>
      </c>
      <c r="K103" s="16">
        <f>SUM(G103/G101*100)</f>
        <v>11.020432960045362</v>
      </c>
      <c r="L103" s="89"/>
      <c r="M103" s="172"/>
      <c r="N103" s="62" t="s">
        <v>84</v>
      </c>
      <c r="O103" s="215"/>
      <c r="P103" s="481">
        <v>1</v>
      </c>
      <c r="Q103" s="482"/>
      <c r="R103" s="251" t="s">
        <v>14</v>
      </c>
      <c r="S103" s="252" t="s">
        <v>57</v>
      </c>
      <c r="T103" s="279">
        <f>188894+149546</f>
        <v>338440</v>
      </c>
      <c r="U103" s="165">
        <v>458876</v>
      </c>
      <c r="V103" s="22">
        <f t="shared" si="19"/>
        <v>-120436</v>
      </c>
      <c r="W103" s="11">
        <f t="shared" si="22"/>
        <v>-26.24587034405809</v>
      </c>
      <c r="X103" s="16">
        <f>SUM(T103/T101*100)</f>
        <v>10.468677792755814</v>
      </c>
    </row>
    <row r="104" spans="1:24" s="3" customFormat="1" ht="15" customHeight="1">
      <c r="A104" s="98"/>
      <c r="B104" s="215"/>
      <c r="C104" s="481">
        <v>2</v>
      </c>
      <c r="D104" s="483"/>
      <c r="E104" s="251" t="s">
        <v>14</v>
      </c>
      <c r="F104" s="252" t="s">
        <v>58</v>
      </c>
      <c r="G104" s="164">
        <v>2796</v>
      </c>
      <c r="H104" s="165">
        <v>3954.25</v>
      </c>
      <c r="I104" s="162">
        <f t="shared" si="17"/>
        <v>-1158.25</v>
      </c>
      <c r="J104" s="108">
        <f t="shared" si="21"/>
        <v>-29.291268887905417</v>
      </c>
      <c r="K104" s="16">
        <f>SUM(G104/G101*100)</f>
        <v>5.662096757862336</v>
      </c>
      <c r="L104" s="89"/>
      <c r="M104" s="172"/>
      <c r="N104" s="98"/>
      <c r="O104" s="215"/>
      <c r="P104" s="481">
        <v>2</v>
      </c>
      <c r="Q104" s="483"/>
      <c r="R104" s="251" t="s">
        <v>14</v>
      </c>
      <c r="S104" s="252" t="s">
        <v>58</v>
      </c>
      <c r="T104" s="279">
        <v>217368</v>
      </c>
      <c r="U104" s="165">
        <v>277231</v>
      </c>
      <c r="V104" s="22">
        <f t="shared" si="19"/>
        <v>-59863</v>
      </c>
      <c r="W104" s="11">
        <f t="shared" si="22"/>
        <v>-21.593184023431718</v>
      </c>
      <c r="X104" s="16">
        <f>SUM(T104/T101*100)</f>
        <v>6.723660189267656</v>
      </c>
    </row>
    <row r="105" spans="1:24" s="3" customFormat="1" ht="15" customHeight="1">
      <c r="A105" s="98"/>
      <c r="B105" s="215"/>
      <c r="C105" s="481">
        <v>3</v>
      </c>
      <c r="D105" s="483"/>
      <c r="E105" s="251" t="s">
        <v>14</v>
      </c>
      <c r="F105" s="252" t="s">
        <v>59</v>
      </c>
      <c r="G105" s="164">
        <v>2271</v>
      </c>
      <c r="H105" s="165">
        <v>2857.62</v>
      </c>
      <c r="I105" s="162">
        <f t="shared" si="17"/>
        <v>-586.6199999999999</v>
      </c>
      <c r="J105" s="108">
        <f t="shared" si="21"/>
        <v>-20.528271778612975</v>
      </c>
      <c r="K105" s="16">
        <f>SUM(G105/G101*100)</f>
        <v>4.598934812984751</v>
      </c>
      <c r="L105" s="89"/>
      <c r="M105" s="172"/>
      <c r="N105" s="98"/>
      <c r="O105" s="215"/>
      <c r="P105" s="481">
        <v>3</v>
      </c>
      <c r="Q105" s="483"/>
      <c r="R105" s="251" t="s">
        <v>14</v>
      </c>
      <c r="S105" s="252" t="s">
        <v>59</v>
      </c>
      <c r="T105" s="279">
        <v>256865</v>
      </c>
      <c r="U105" s="165">
        <v>306703</v>
      </c>
      <c r="V105" s="22">
        <f t="shared" si="19"/>
        <v>-49838</v>
      </c>
      <c r="W105" s="11">
        <f t="shared" si="22"/>
        <v>-16.249596515195492</v>
      </c>
      <c r="X105" s="16">
        <f>SUM(T105/T101*100)</f>
        <v>7.945387428307003</v>
      </c>
    </row>
    <row r="106" spans="1:24" s="3" customFormat="1" ht="15" customHeight="1">
      <c r="A106" s="98"/>
      <c r="B106" s="215"/>
      <c r="C106" s="481">
        <v>5</v>
      </c>
      <c r="D106" s="483"/>
      <c r="E106" s="251" t="s">
        <v>14</v>
      </c>
      <c r="F106" s="252" t="s">
        <v>15</v>
      </c>
      <c r="G106" s="164">
        <v>2955</v>
      </c>
      <c r="H106" s="165">
        <v>3679.14</v>
      </c>
      <c r="I106" s="162">
        <f t="shared" si="17"/>
        <v>-724.1399999999999</v>
      </c>
      <c r="J106" s="108">
        <f t="shared" si="21"/>
        <v>-19.682317063226733</v>
      </c>
      <c r="K106" s="16">
        <f>SUM(G106/G101*100)</f>
        <v>5.984082946882404</v>
      </c>
      <c r="L106" s="89"/>
      <c r="M106" s="172"/>
      <c r="N106" s="98"/>
      <c r="O106" s="215"/>
      <c r="P106" s="481">
        <v>5</v>
      </c>
      <c r="Q106" s="483"/>
      <c r="R106" s="251" t="s">
        <v>14</v>
      </c>
      <c r="S106" s="252" t="s">
        <v>15</v>
      </c>
      <c r="T106" s="279">
        <v>329371</v>
      </c>
      <c r="U106" s="165">
        <v>354832</v>
      </c>
      <c r="V106" s="22">
        <f t="shared" si="19"/>
        <v>-25461</v>
      </c>
      <c r="W106" s="11">
        <f t="shared" si="22"/>
        <v>-7.175508409613556</v>
      </c>
      <c r="X106" s="16">
        <f>SUM(T106/T101*100)</f>
        <v>10.188154099036092</v>
      </c>
    </row>
    <row r="107" spans="1:24" s="3" customFormat="1" ht="15" customHeight="1">
      <c r="A107" s="98"/>
      <c r="B107" s="215"/>
      <c r="C107" s="440" t="s">
        <v>67</v>
      </c>
      <c r="D107" s="484"/>
      <c r="E107" s="485"/>
      <c r="F107" s="252" t="s">
        <v>16</v>
      </c>
      <c r="G107" s="164">
        <f>5215+6038</f>
        <v>11253</v>
      </c>
      <c r="H107" s="165">
        <v>11476.53</v>
      </c>
      <c r="I107" s="162">
        <f t="shared" si="17"/>
        <v>-223.53000000000065</v>
      </c>
      <c r="J107" s="108">
        <f t="shared" si="21"/>
        <v>-1.9477141609876867</v>
      </c>
      <c r="K107" s="16">
        <f>SUM(G107/G101*100)</f>
        <v>22.788116887061825</v>
      </c>
      <c r="L107" s="89"/>
      <c r="M107" s="172"/>
      <c r="N107" s="98"/>
      <c r="O107" s="215"/>
      <c r="P107" s="440" t="s">
        <v>67</v>
      </c>
      <c r="Q107" s="484"/>
      <c r="R107" s="485"/>
      <c r="S107" s="252" t="s">
        <v>16</v>
      </c>
      <c r="T107" s="164">
        <f>354282+261860</f>
        <v>616142</v>
      </c>
      <c r="U107" s="165">
        <v>599263</v>
      </c>
      <c r="V107" s="22">
        <f t="shared" si="19"/>
        <v>16879</v>
      </c>
      <c r="W107" s="11">
        <f t="shared" si="22"/>
        <v>2.8166264227893265</v>
      </c>
      <c r="X107" s="16">
        <f>SUM(T107/T101*100)</f>
        <v>19.058598488902472</v>
      </c>
    </row>
    <row r="108" spans="1:24" s="3" customFormat="1" ht="15" customHeight="1" thickBot="1">
      <c r="A108" s="238"/>
      <c r="B108" s="239"/>
      <c r="C108" s="486" t="s">
        <v>13</v>
      </c>
      <c r="D108" s="471"/>
      <c r="E108" s="471"/>
      <c r="F108" s="487"/>
      <c r="G108" s="166">
        <f>11233+6582+2293+1463</f>
        <v>21571</v>
      </c>
      <c r="H108" s="167">
        <v>15878.07</v>
      </c>
      <c r="I108" s="138">
        <f t="shared" si="17"/>
        <v>5692.93</v>
      </c>
      <c r="J108" s="163">
        <f t="shared" si="21"/>
        <v>35.85404271425935</v>
      </c>
      <c r="K108" s="86">
        <f>SUM(G108/G101*100)</f>
        <v>43.68279297705595</v>
      </c>
      <c r="L108" s="89"/>
      <c r="M108" s="172"/>
      <c r="N108" s="238"/>
      <c r="O108" s="239"/>
      <c r="P108" s="486" t="s">
        <v>13</v>
      </c>
      <c r="Q108" s="471"/>
      <c r="R108" s="471"/>
      <c r="S108" s="487"/>
      <c r="T108" s="166">
        <f>380548+432749+135902+222611</f>
        <v>1171810</v>
      </c>
      <c r="U108" s="168">
        <v>1043542</v>
      </c>
      <c r="V108" s="78">
        <f t="shared" si="19"/>
        <v>128268</v>
      </c>
      <c r="W108" s="19">
        <f t="shared" si="22"/>
        <v>12.29159918814959</v>
      </c>
      <c r="X108" s="86">
        <f>SUM(T108/T101*100)</f>
        <v>36.24660596953431</v>
      </c>
    </row>
    <row r="109" spans="1:24" s="3" customFormat="1" ht="25.5" customHeight="1" thickTop="1">
      <c r="A109" s="488" t="s">
        <v>31</v>
      </c>
      <c r="B109" s="373" t="s">
        <v>3</v>
      </c>
      <c r="C109" s="374"/>
      <c r="D109" s="375"/>
      <c r="E109" s="376"/>
      <c r="F109" s="377"/>
      <c r="G109" s="115">
        <v>181</v>
      </c>
      <c r="H109" s="110">
        <v>473</v>
      </c>
      <c r="I109" s="31">
        <f t="shared" si="17"/>
        <v>-292</v>
      </c>
      <c r="J109" s="37">
        <f t="shared" si="21"/>
        <v>-61.733615221987314</v>
      </c>
      <c r="K109" s="77">
        <f>SUM(G109/G109*100)</f>
        <v>100</v>
      </c>
      <c r="L109" s="89"/>
      <c r="M109" s="172"/>
      <c r="N109" s="488" t="s">
        <v>31</v>
      </c>
      <c r="O109" s="373" t="s">
        <v>3</v>
      </c>
      <c r="P109" s="374"/>
      <c r="Q109" s="375"/>
      <c r="R109" s="376"/>
      <c r="S109" s="377"/>
      <c r="T109" s="139">
        <v>34001</v>
      </c>
      <c r="U109" s="140">
        <v>87284</v>
      </c>
      <c r="V109" s="141">
        <f t="shared" si="19"/>
        <v>-53283</v>
      </c>
      <c r="W109" s="74">
        <f t="shared" si="22"/>
        <v>-61.045552449475274</v>
      </c>
      <c r="X109" s="28">
        <f>SUM(T109/T109*100)</f>
        <v>100</v>
      </c>
    </row>
    <row r="110" spans="1:24" s="3" customFormat="1" ht="15" customHeight="1">
      <c r="A110" s="489"/>
      <c r="B110" s="215"/>
      <c r="C110" s="437" t="s">
        <v>24</v>
      </c>
      <c r="D110" s="438"/>
      <c r="E110" s="438"/>
      <c r="F110" s="439"/>
      <c r="G110" s="39">
        <v>55</v>
      </c>
      <c r="H110" s="17">
        <v>163</v>
      </c>
      <c r="I110" s="18">
        <f t="shared" si="17"/>
        <v>-108</v>
      </c>
      <c r="J110" s="11">
        <f t="shared" si="21"/>
        <v>-66.25766871165644</v>
      </c>
      <c r="K110" s="16">
        <f>SUM(G110/G109*100)</f>
        <v>30.386740331491712</v>
      </c>
      <c r="L110" s="89"/>
      <c r="M110" s="172"/>
      <c r="N110" s="489"/>
      <c r="O110" s="215"/>
      <c r="P110" s="437" t="s">
        <v>24</v>
      </c>
      <c r="Q110" s="438"/>
      <c r="R110" s="438"/>
      <c r="S110" s="439"/>
      <c r="T110" s="20">
        <f>1028+492+6236</f>
        <v>7756</v>
      </c>
      <c r="U110" s="25">
        <v>26014</v>
      </c>
      <c r="V110" s="22">
        <f t="shared" si="19"/>
        <v>-18258</v>
      </c>
      <c r="W110" s="11">
        <f t="shared" si="22"/>
        <v>-70.18528484662104</v>
      </c>
      <c r="X110" s="16">
        <f>SUM(T110/T109*100)</f>
        <v>22.811093791359077</v>
      </c>
    </row>
    <row r="111" spans="1:24" s="3" customFormat="1" ht="15" customHeight="1">
      <c r="A111" s="240" t="s">
        <v>5</v>
      </c>
      <c r="B111" s="215"/>
      <c r="C111" s="437" t="s">
        <v>64</v>
      </c>
      <c r="D111" s="438"/>
      <c r="E111" s="438"/>
      <c r="F111" s="439"/>
      <c r="G111" s="41">
        <v>38</v>
      </c>
      <c r="H111" s="40">
        <v>133</v>
      </c>
      <c r="I111" s="18">
        <f t="shared" si="17"/>
        <v>-95</v>
      </c>
      <c r="J111" s="11">
        <f t="shared" si="21"/>
        <v>-71.42857142857143</v>
      </c>
      <c r="K111" s="16">
        <f>SUM(G111/G109*100)</f>
        <v>20.994475138121548</v>
      </c>
      <c r="L111" s="89"/>
      <c r="M111" s="172"/>
      <c r="N111" s="240" t="s">
        <v>5</v>
      </c>
      <c r="O111" s="215"/>
      <c r="P111" s="437" t="s">
        <v>64</v>
      </c>
      <c r="Q111" s="438"/>
      <c r="R111" s="438"/>
      <c r="S111" s="439"/>
      <c r="T111" s="24">
        <v>8197</v>
      </c>
      <c r="U111" s="25">
        <v>24391</v>
      </c>
      <c r="V111" s="22">
        <f t="shared" si="19"/>
        <v>-16194</v>
      </c>
      <c r="W111" s="11">
        <f t="shared" si="22"/>
        <v>-66.39334180640401</v>
      </c>
      <c r="X111" s="16">
        <f>SUM(T111/T109*100)</f>
        <v>24.108114467221554</v>
      </c>
    </row>
    <row r="112" spans="1:24" s="3" customFormat="1" ht="15" customHeight="1">
      <c r="A112" s="98"/>
      <c r="B112" s="215"/>
      <c r="C112" s="437" t="s">
        <v>68</v>
      </c>
      <c r="D112" s="438"/>
      <c r="E112" s="438"/>
      <c r="F112" s="439"/>
      <c r="G112" s="41">
        <v>32</v>
      </c>
      <c r="H112" s="40">
        <v>88</v>
      </c>
      <c r="I112" s="18">
        <f>SUM(G112-H112)</f>
        <v>-56</v>
      </c>
      <c r="J112" s="11">
        <f>SUM(G112/H112*100)-100</f>
        <v>-63.63636363636363</v>
      </c>
      <c r="K112" s="16">
        <f>SUM(G112/G109*100)</f>
        <v>17.67955801104972</v>
      </c>
      <c r="L112" s="89"/>
      <c r="M112" s="172"/>
      <c r="N112" s="98"/>
      <c r="O112" s="215"/>
      <c r="P112" s="437" t="s">
        <v>68</v>
      </c>
      <c r="Q112" s="438"/>
      <c r="R112" s="438"/>
      <c r="S112" s="439"/>
      <c r="T112" s="24">
        <v>7023</v>
      </c>
      <c r="U112" s="25">
        <v>17494</v>
      </c>
      <c r="V112" s="22">
        <f>SUM(T112-U112)</f>
        <v>-10471</v>
      </c>
      <c r="W112" s="11">
        <f>SUM(T112/U112*100)-100</f>
        <v>-59.85480736252429</v>
      </c>
      <c r="X112" s="16">
        <f>SUM(T112/T109*100)</f>
        <v>20.655274844857505</v>
      </c>
    </row>
    <row r="113" spans="1:24" s="3" customFormat="1" ht="15" customHeight="1">
      <c r="A113" s="98"/>
      <c r="B113" s="215"/>
      <c r="C113" s="437" t="s">
        <v>69</v>
      </c>
      <c r="D113" s="438"/>
      <c r="E113" s="438"/>
      <c r="F113" s="439"/>
      <c r="G113" s="39">
        <v>14</v>
      </c>
      <c r="H113" s="17">
        <v>29</v>
      </c>
      <c r="I113" s="18">
        <f>SUM(G113-H113)</f>
        <v>-15</v>
      </c>
      <c r="J113" s="11">
        <f>SUM(G113/H113*100)-100</f>
        <v>-51.724137931034484</v>
      </c>
      <c r="K113" s="16">
        <f>SUM(G113/G109*100)</f>
        <v>7.734806629834254</v>
      </c>
      <c r="L113" s="89"/>
      <c r="M113" s="172"/>
      <c r="N113" s="98"/>
      <c r="O113" s="215"/>
      <c r="P113" s="437" t="s">
        <v>69</v>
      </c>
      <c r="Q113" s="438"/>
      <c r="R113" s="438"/>
      <c r="S113" s="439"/>
      <c r="T113" s="20">
        <v>3191</v>
      </c>
      <c r="U113" s="21">
        <v>6832</v>
      </c>
      <c r="V113" s="22">
        <f>SUM(T113-U113)</f>
        <v>-3641</v>
      </c>
      <c r="W113" s="11">
        <f>SUM(T113/U113*100)-100</f>
        <v>-53.29332552693209</v>
      </c>
      <c r="X113" s="16">
        <f>SUM(T113/T109*100)</f>
        <v>9.385018087703303</v>
      </c>
    </row>
    <row r="114" spans="1:24" s="3" customFormat="1" ht="15" customHeight="1">
      <c r="A114" s="98"/>
      <c r="B114" s="215"/>
      <c r="C114" s="437" t="s">
        <v>70</v>
      </c>
      <c r="D114" s="438"/>
      <c r="E114" s="438"/>
      <c r="F114" s="439"/>
      <c r="G114" s="39">
        <v>25</v>
      </c>
      <c r="H114" s="17">
        <v>41</v>
      </c>
      <c r="I114" s="18">
        <f>SUM(G114-H114)</f>
        <v>-16</v>
      </c>
      <c r="J114" s="11">
        <f>SUM(G114/H114*100)-100</f>
        <v>-39.02439024390244</v>
      </c>
      <c r="K114" s="16">
        <f>SUM(G114/G109*100)</f>
        <v>13.812154696132598</v>
      </c>
      <c r="L114" s="89"/>
      <c r="M114" s="172"/>
      <c r="N114" s="98"/>
      <c r="O114" s="215"/>
      <c r="P114" s="437" t="s">
        <v>70</v>
      </c>
      <c r="Q114" s="438"/>
      <c r="R114" s="438"/>
      <c r="S114" s="439"/>
      <c r="T114" s="20">
        <f>2854+2151</f>
        <v>5005</v>
      </c>
      <c r="U114" s="21">
        <v>8933</v>
      </c>
      <c r="V114" s="22">
        <f>SUM(T114-U114)</f>
        <v>-3928</v>
      </c>
      <c r="W114" s="11">
        <f>SUM(T114/U114*100)-100</f>
        <v>-43.97178999216389</v>
      </c>
      <c r="X114" s="16">
        <f>SUM(T114/T109*100)</f>
        <v>14.720155289550307</v>
      </c>
    </row>
    <row r="115" spans="1:24" s="3" customFormat="1" ht="15" customHeight="1" thickBot="1">
      <c r="A115" s="98"/>
      <c r="B115" s="215"/>
      <c r="C115" s="437" t="s">
        <v>71</v>
      </c>
      <c r="D115" s="438"/>
      <c r="E115" s="438"/>
      <c r="F115" s="439"/>
      <c r="G115" s="39">
        <v>17</v>
      </c>
      <c r="H115" s="17">
        <v>19</v>
      </c>
      <c r="I115" s="18">
        <f>SUM(G115-H115)</f>
        <v>-2</v>
      </c>
      <c r="J115" s="11">
        <f>SUM(G115/H115*100)-100</f>
        <v>-10.526315789473685</v>
      </c>
      <c r="K115" s="16">
        <f>SUM(G115/G109*100)</f>
        <v>9.392265193370166</v>
      </c>
      <c r="L115" s="89"/>
      <c r="M115" s="172"/>
      <c r="N115" s="98"/>
      <c r="O115" s="215"/>
      <c r="P115" s="437" t="s">
        <v>71</v>
      </c>
      <c r="Q115" s="438"/>
      <c r="R115" s="438"/>
      <c r="S115" s="439"/>
      <c r="T115" s="20">
        <f>2054+351+424</f>
        <v>2829</v>
      </c>
      <c r="U115" s="21">
        <v>3620</v>
      </c>
      <c r="V115" s="22">
        <f>SUM(T115-U115)</f>
        <v>-791</v>
      </c>
      <c r="W115" s="11">
        <f>SUM(T115/U115*100)-100</f>
        <v>-21.850828729281773</v>
      </c>
      <c r="X115" s="16">
        <f>SUM(T115/T109*100)</f>
        <v>8.320343519308256</v>
      </c>
    </row>
    <row r="116" spans="1:24" s="3" customFormat="1" ht="25.5" customHeight="1" thickBot="1" thickTop="1">
      <c r="A116" s="212" t="s">
        <v>37</v>
      </c>
      <c r="B116" s="490" t="s">
        <v>38</v>
      </c>
      <c r="C116" s="491"/>
      <c r="D116" s="491"/>
      <c r="E116" s="491"/>
      <c r="F116" s="492"/>
      <c r="G116" s="212">
        <v>109326</v>
      </c>
      <c r="H116" s="213">
        <v>77147</v>
      </c>
      <c r="I116" s="142">
        <f t="shared" si="17"/>
        <v>32179</v>
      </c>
      <c r="J116" s="143">
        <f t="shared" si="21"/>
        <v>41.71127846837854</v>
      </c>
      <c r="K116" s="146" t="s">
        <v>87</v>
      </c>
      <c r="L116" s="171"/>
      <c r="M116" s="178"/>
      <c r="N116" s="212" t="s">
        <v>37</v>
      </c>
      <c r="O116" s="490" t="s">
        <v>38</v>
      </c>
      <c r="P116" s="491"/>
      <c r="Q116" s="491"/>
      <c r="R116" s="491"/>
      <c r="S116" s="492"/>
      <c r="T116" s="144">
        <v>20414409</v>
      </c>
      <c r="U116" s="145">
        <v>19888089</v>
      </c>
      <c r="V116" s="142">
        <f t="shared" si="19"/>
        <v>526320</v>
      </c>
      <c r="W116" s="143">
        <f t="shared" si="22"/>
        <v>2.6464081088937235</v>
      </c>
      <c r="X116" s="146" t="s">
        <v>87</v>
      </c>
    </row>
    <row r="117" spans="1:24" s="3" customFormat="1" ht="54" customHeight="1">
      <c r="A117" s="493" t="s">
        <v>128</v>
      </c>
      <c r="B117" s="494"/>
      <c r="C117" s="494"/>
      <c r="D117" s="494"/>
      <c r="E117" s="494"/>
      <c r="F117" s="494"/>
      <c r="G117" s="494"/>
      <c r="H117" s="494"/>
      <c r="I117" s="494"/>
      <c r="J117" s="494"/>
      <c r="K117" s="494"/>
      <c r="L117" s="171"/>
      <c r="M117" s="171"/>
      <c r="N117" s="493" t="s">
        <v>129</v>
      </c>
      <c r="O117" s="494"/>
      <c r="P117" s="494"/>
      <c r="Q117" s="494"/>
      <c r="R117" s="494"/>
      <c r="S117" s="494"/>
      <c r="T117" s="494"/>
      <c r="U117" s="494"/>
      <c r="V117" s="494"/>
      <c r="W117" s="494"/>
      <c r="X117" s="494"/>
    </row>
    <row r="118" spans="1:24" s="3" customFormat="1" ht="31.5" customHeight="1">
      <c r="A118" s="154" t="s">
        <v>40</v>
      </c>
      <c r="B118" s="154"/>
      <c r="C118" s="154"/>
      <c r="D118" s="154"/>
      <c r="E118" s="154"/>
      <c r="F118" s="154"/>
      <c r="G118" s="154"/>
      <c r="H118" s="154"/>
      <c r="I118" s="154"/>
      <c r="J118" s="154"/>
      <c r="K118" s="154"/>
      <c r="L118" s="171"/>
      <c r="M118" s="171"/>
      <c r="N118" s="154" t="s">
        <v>40</v>
      </c>
      <c r="O118" s="154"/>
      <c r="P118" s="154"/>
      <c r="Q118" s="154"/>
      <c r="R118" s="154"/>
      <c r="S118" s="154"/>
      <c r="T118" s="154"/>
      <c r="U118" s="154"/>
      <c r="V118" s="154"/>
      <c r="W118" s="154"/>
      <c r="X118" s="154"/>
    </row>
  </sheetData>
  <sheetProtection/>
  <mergeCells count="172">
    <mergeCell ref="C42:F42"/>
    <mergeCell ref="O36:O42"/>
    <mergeCell ref="P37:S37"/>
    <mergeCell ref="P38:S38"/>
    <mergeCell ref="P39:S39"/>
    <mergeCell ref="P40:S40"/>
    <mergeCell ref="P41:S41"/>
    <mergeCell ref="P42:S42"/>
    <mergeCell ref="P31:S31"/>
    <mergeCell ref="P32:S32"/>
    <mergeCell ref="P33:S33"/>
    <mergeCell ref="P34:S34"/>
    <mergeCell ref="B36:B42"/>
    <mergeCell ref="C37:F37"/>
    <mergeCell ref="C38:F38"/>
    <mergeCell ref="C39:F39"/>
    <mergeCell ref="C40:F40"/>
    <mergeCell ref="C41:F41"/>
    <mergeCell ref="A117:K117"/>
    <mergeCell ref="N117:X117"/>
    <mergeCell ref="B29:B34"/>
    <mergeCell ref="C30:F30"/>
    <mergeCell ref="C31:F31"/>
    <mergeCell ref="C32:F32"/>
    <mergeCell ref="C33:F33"/>
    <mergeCell ref="C34:F34"/>
    <mergeCell ref="O29:O34"/>
    <mergeCell ref="P30:S30"/>
    <mergeCell ref="C114:F114"/>
    <mergeCell ref="P114:S114"/>
    <mergeCell ref="C115:F115"/>
    <mergeCell ref="P115:S115"/>
    <mergeCell ref="B116:F116"/>
    <mergeCell ref="O116:S116"/>
    <mergeCell ref="C111:F111"/>
    <mergeCell ref="P111:S111"/>
    <mergeCell ref="C112:F112"/>
    <mergeCell ref="P112:S112"/>
    <mergeCell ref="C113:F113"/>
    <mergeCell ref="P113:S113"/>
    <mergeCell ref="A109:A110"/>
    <mergeCell ref="B109:F109"/>
    <mergeCell ref="N109:N110"/>
    <mergeCell ref="O109:S109"/>
    <mergeCell ref="C110:F110"/>
    <mergeCell ref="P110:S110"/>
    <mergeCell ref="C106:D106"/>
    <mergeCell ref="P106:Q106"/>
    <mergeCell ref="C107:E107"/>
    <mergeCell ref="P107:R107"/>
    <mergeCell ref="C108:F108"/>
    <mergeCell ref="P108:S108"/>
    <mergeCell ref="C103:D103"/>
    <mergeCell ref="P103:Q103"/>
    <mergeCell ref="C104:D104"/>
    <mergeCell ref="P104:Q104"/>
    <mergeCell ref="C105:D105"/>
    <mergeCell ref="P105:Q105"/>
    <mergeCell ref="C100:F100"/>
    <mergeCell ref="P100:S100"/>
    <mergeCell ref="A101:A102"/>
    <mergeCell ref="B101:F101"/>
    <mergeCell ref="N101:N102"/>
    <mergeCell ref="O101:S101"/>
    <mergeCell ref="C102:F102"/>
    <mergeCell ref="P102:S102"/>
    <mergeCell ref="A95:A96"/>
    <mergeCell ref="B95:F95"/>
    <mergeCell ref="N95:N96"/>
    <mergeCell ref="O95:S95"/>
    <mergeCell ref="C99:F99"/>
    <mergeCell ref="P99:S99"/>
    <mergeCell ref="A87:A88"/>
    <mergeCell ref="B87:F87"/>
    <mergeCell ref="N87:N88"/>
    <mergeCell ref="O87:S87"/>
    <mergeCell ref="C94:F94"/>
    <mergeCell ref="P94:S94"/>
    <mergeCell ref="A84:F85"/>
    <mergeCell ref="G84:K84"/>
    <mergeCell ref="N84:S85"/>
    <mergeCell ref="T84:X84"/>
    <mergeCell ref="A86:F86"/>
    <mergeCell ref="N86:S86"/>
    <mergeCell ref="B73:F73"/>
    <mergeCell ref="O73:S73"/>
    <mergeCell ref="A80:K80"/>
    <mergeCell ref="N80:X80"/>
    <mergeCell ref="A82:K82"/>
    <mergeCell ref="N82:X82"/>
    <mergeCell ref="A77:A78"/>
    <mergeCell ref="B77:F77"/>
    <mergeCell ref="N77:N78"/>
    <mergeCell ref="O77:S77"/>
    <mergeCell ref="B69:F69"/>
    <mergeCell ref="O69:S69"/>
    <mergeCell ref="B70:B72"/>
    <mergeCell ref="C70:F70"/>
    <mergeCell ref="O70:O72"/>
    <mergeCell ref="P70:S70"/>
    <mergeCell ref="C71:F71"/>
    <mergeCell ref="P71:S71"/>
    <mergeCell ref="C72:F72"/>
    <mergeCell ref="P72:S72"/>
    <mergeCell ref="C64:F64"/>
    <mergeCell ref="P64:S64"/>
    <mergeCell ref="C65:D65"/>
    <mergeCell ref="P65:Q65"/>
    <mergeCell ref="C68:F68"/>
    <mergeCell ref="P68:S68"/>
    <mergeCell ref="C61:D61"/>
    <mergeCell ref="P61:Q61"/>
    <mergeCell ref="C62:D62"/>
    <mergeCell ref="P62:Q62"/>
    <mergeCell ref="C63:D63"/>
    <mergeCell ref="P63:Q63"/>
    <mergeCell ref="A57:A60"/>
    <mergeCell ref="B57:F57"/>
    <mergeCell ref="N57:N60"/>
    <mergeCell ref="O57:S57"/>
    <mergeCell ref="C58:F58"/>
    <mergeCell ref="P58:S58"/>
    <mergeCell ref="C59:F59"/>
    <mergeCell ref="P59:S59"/>
    <mergeCell ref="C60:D60"/>
    <mergeCell ref="P60:Q60"/>
    <mergeCell ref="A49:F49"/>
    <mergeCell ref="N49:S49"/>
    <mergeCell ref="A50:A52"/>
    <mergeCell ref="B50:F50"/>
    <mergeCell ref="N50:N52"/>
    <mergeCell ref="O50:S50"/>
    <mergeCell ref="A45:K45"/>
    <mergeCell ref="N45:X45"/>
    <mergeCell ref="A47:F48"/>
    <mergeCell ref="G47:K47"/>
    <mergeCell ref="N47:S48"/>
    <mergeCell ref="T47:X47"/>
    <mergeCell ref="A35:A36"/>
    <mergeCell ref="B35:F35"/>
    <mergeCell ref="N35:N36"/>
    <mergeCell ref="O35:S35"/>
    <mergeCell ref="C36:F36"/>
    <mergeCell ref="P36:S36"/>
    <mergeCell ref="A28:A29"/>
    <mergeCell ref="B28:F28"/>
    <mergeCell ref="N28:N29"/>
    <mergeCell ref="O28:S28"/>
    <mergeCell ref="C29:F29"/>
    <mergeCell ref="P29:S29"/>
    <mergeCell ref="C21:F21"/>
    <mergeCell ref="P21:S21"/>
    <mergeCell ref="C26:F26"/>
    <mergeCell ref="P26:S26"/>
    <mergeCell ref="C27:F27"/>
    <mergeCell ref="P27:S27"/>
    <mergeCell ref="A5:F5"/>
    <mergeCell ref="N5:S5"/>
    <mergeCell ref="B6:F6"/>
    <mergeCell ref="O6:S6"/>
    <mergeCell ref="A16:A18"/>
    <mergeCell ref="B16:F16"/>
    <mergeCell ref="N16:N18"/>
    <mergeCell ref="O16:S16"/>
    <mergeCell ref="C17:F17"/>
    <mergeCell ref="P17:S17"/>
    <mergeCell ref="A1:K1"/>
    <mergeCell ref="N1:X1"/>
    <mergeCell ref="A3:F4"/>
    <mergeCell ref="G3:K3"/>
    <mergeCell ref="N3:S4"/>
    <mergeCell ref="T3:X3"/>
  </mergeCells>
  <printOptions/>
  <pageMargins left="0.7086614173228347" right="0.7086614173228347" top="0.7480314960629921" bottom="0.7480314960629921" header="0.31496062992125984" footer="0.31496062992125984"/>
  <pageSetup horizontalDpi="600" verticalDpi="600" orientation="portrait" pageOrder="overThenDown" paperSize="9" scale="73" r:id="rId3"/>
  <rowBreaks count="2" manualBreakCount="2">
    <brk id="44" max="255" man="1"/>
    <brk id="81" max="255" man="1"/>
  </rowBreaks>
  <colBreaks count="1" manualBreakCount="1">
    <brk id="12"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生計農林係</dc:creator>
  <cp:keywords/>
  <dc:description/>
  <cp:lastModifiedBy>富山県</cp:lastModifiedBy>
  <cp:lastPrinted>2021-12-28T04:40:01Z</cp:lastPrinted>
  <dcterms:created xsi:type="dcterms:W3CDTF">2005-08-26T06:35:39Z</dcterms:created>
  <dcterms:modified xsi:type="dcterms:W3CDTF">2022-01-25T05:57:08Z</dcterms:modified>
  <cp:category/>
  <cp:version/>
  <cp:contentType/>
  <cp:contentStatus/>
</cp:coreProperties>
</file>