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725" windowHeight="5940" tabRatio="735" activeTab="0"/>
  </bookViews>
  <sheets>
    <sheet name="2015一覧表" sheetId="1" r:id="rId1"/>
  </sheets>
  <definedNames/>
  <calcPr fullCalcOnLoad="1"/>
</workbook>
</file>

<file path=xl/comments1.xml><?xml version="1.0" encoding="utf-8"?>
<comments xmlns="http://schemas.openxmlformats.org/spreadsheetml/2006/main">
  <authors>
    <author>420395</author>
  </authors>
  <commentList>
    <comment ref="T29" authorId="0">
      <text>
        <r>
          <rPr>
            <b/>
            <sz val="9"/>
            <rFont val="ＭＳ Ｐゴシック"/>
            <family val="3"/>
          </rPr>
          <t>国からの正誤表により、990,463から修正</t>
        </r>
      </text>
    </comment>
    <comment ref="T33" authorId="0">
      <text>
        <r>
          <rPr>
            <b/>
            <sz val="9"/>
            <rFont val="ＭＳ Ｐゴシック"/>
            <family val="3"/>
          </rPr>
          <t>国からの正誤表により、254,769から修正</t>
        </r>
      </text>
    </comment>
    <comment ref="G110" authorId="0">
      <text>
        <r>
          <rPr>
            <b/>
            <sz val="9"/>
            <rFont val="ＭＳ Ｐゴシック"/>
            <family val="3"/>
          </rPr>
          <t>四捨五入の誤りに気付き、4,682から修正
H28.11.10</t>
        </r>
      </text>
    </comment>
    <comment ref="G115" authorId="0">
      <text>
        <r>
          <rPr>
            <b/>
            <sz val="9"/>
            <rFont val="ＭＳ Ｐゴシック"/>
            <family val="3"/>
          </rPr>
          <t>四捨五入の誤りに気付き、11,476から修正
H28.11.10</t>
        </r>
      </text>
    </comment>
  </commentList>
</comments>
</file>

<file path=xl/sharedStrings.xml><?xml version="1.0" encoding="utf-8"?>
<sst xmlns="http://schemas.openxmlformats.org/spreadsheetml/2006/main" count="431" uniqueCount="136">
  <si>
    <t>農林業経営体</t>
  </si>
  <si>
    <t>経営体数</t>
  </si>
  <si>
    <t>0.3ｈａ未満</t>
  </si>
  <si>
    <t>計</t>
  </si>
  <si>
    <t>50万円未満</t>
  </si>
  <si>
    <t>1億円以上</t>
  </si>
  <si>
    <t>第1種兼業農家</t>
  </si>
  <si>
    <t>第2種兼業農家</t>
  </si>
  <si>
    <t>専兼業別</t>
  </si>
  <si>
    <t>主業農家</t>
  </si>
  <si>
    <t>準主業農家</t>
  </si>
  <si>
    <t>副業的農家</t>
  </si>
  <si>
    <t>主副業別</t>
  </si>
  <si>
    <t>（単位：経営体）</t>
  </si>
  <si>
    <t>専  業  農  家</t>
  </si>
  <si>
    <t>兼  業  農  家</t>
  </si>
  <si>
    <t>（単位：戸）</t>
  </si>
  <si>
    <t>50万円～100万円</t>
  </si>
  <si>
    <t>100万円～500万円</t>
  </si>
  <si>
    <t>500万円～1,000万円</t>
  </si>
  <si>
    <t>1,000万円～3,000万円</t>
  </si>
  <si>
    <t>3,000万円～5,000万円</t>
  </si>
  <si>
    <t>（小計）</t>
  </si>
  <si>
    <t>増減率（％）</t>
  </si>
  <si>
    <t>30.0ｈａ以上</t>
  </si>
  <si>
    <t>～</t>
  </si>
  <si>
    <t>10.0ｈａ</t>
  </si>
  <si>
    <t>30.0ｈａ</t>
  </si>
  <si>
    <t>借入耕地面積</t>
  </si>
  <si>
    <t>農業就業人口</t>
  </si>
  <si>
    <t>平均年齢</t>
  </si>
  <si>
    <t>農業経営体</t>
  </si>
  <si>
    <t>林業経営体</t>
  </si>
  <si>
    <t>差</t>
  </si>
  <si>
    <t>農事組合法人</t>
  </si>
  <si>
    <t>5,000万円～1億円</t>
  </si>
  <si>
    <t>兼業農家比率</t>
  </si>
  <si>
    <t>5.0ｈａ未満</t>
  </si>
  <si>
    <t>常雇い</t>
  </si>
  <si>
    <t>臨時雇い</t>
  </si>
  <si>
    <t>食品製造業・外食産業</t>
  </si>
  <si>
    <t>（複数回答）</t>
  </si>
  <si>
    <t>田</t>
  </si>
  <si>
    <t>畑</t>
  </si>
  <si>
    <t>樹園地</t>
  </si>
  <si>
    <t>保有山林面積別
林業経営体数</t>
  </si>
  <si>
    <t>農産物の加工</t>
  </si>
  <si>
    <t>貸農園・体験農園等</t>
  </si>
  <si>
    <t>観光農園</t>
  </si>
  <si>
    <t>農家民宿</t>
  </si>
  <si>
    <t>総農家数等</t>
  </si>
  <si>
    <t>販売のあった経営体数</t>
  </si>
  <si>
    <t>単一経営</t>
  </si>
  <si>
    <t>各種団体</t>
  </si>
  <si>
    <t>素材生産量（単位：㎥）</t>
  </si>
  <si>
    <t>計</t>
  </si>
  <si>
    <t>販売農家数</t>
  </si>
  <si>
    <t>構成比（％）</t>
  </si>
  <si>
    <t>（注）端数処理および主要な項目を抜粋している箇所があるため、計と内訳の数字が一致しないことがある。</t>
  </si>
  <si>
    <t>（注）端数処理および主要な項目を抜粋しているため、計と内訳の数字が一致しない箇所がある。</t>
  </si>
  <si>
    <t>その他各種団体</t>
  </si>
  <si>
    <t>30～39歳</t>
  </si>
  <si>
    <t>40～49歳</t>
  </si>
  <si>
    <t>50～59歳</t>
  </si>
  <si>
    <t>60～64歳</t>
  </si>
  <si>
    <t>65歳以上</t>
  </si>
  <si>
    <t>A</t>
  </si>
  <si>
    <t>B</t>
  </si>
  <si>
    <t>A-B</t>
  </si>
  <si>
    <t>（A-B）÷B×100</t>
  </si>
  <si>
    <t>（※）</t>
  </si>
  <si>
    <t>C</t>
  </si>
  <si>
    <t>D</t>
  </si>
  <si>
    <t>C-D</t>
  </si>
  <si>
    <t>（C-D）÷D×100</t>
  </si>
  <si>
    <t>露地野菜</t>
  </si>
  <si>
    <t>農　協</t>
  </si>
  <si>
    <t>消費者に直接販売</t>
  </si>
  <si>
    <t>卸売市場</t>
  </si>
  <si>
    <t>小売業者</t>
  </si>
  <si>
    <t>1.0ｈａ</t>
  </si>
  <si>
    <t>2.0ｈａ</t>
  </si>
  <si>
    <t>3.0ｈａ</t>
  </si>
  <si>
    <t>5.0ｈａ</t>
  </si>
  <si>
    <t>販売農家</t>
  </si>
  <si>
    <t>自給的農家</t>
  </si>
  <si>
    <t>土地持ち非農家</t>
  </si>
  <si>
    <t>15～29歳</t>
  </si>
  <si>
    <t>耕作放棄地面積</t>
  </si>
  <si>
    <t>5.0ｈａ～10.0ha</t>
  </si>
  <si>
    <t>富　山　県　計</t>
  </si>
  <si>
    <t>1.0ｈａ未満</t>
  </si>
  <si>
    <t>10.0～</t>
  </si>
  <si>
    <t>10.0ｈａ～20.0ha</t>
  </si>
  <si>
    <t>20.0ｈａ～30.0ha</t>
  </si>
  <si>
    <t>30.0ｈａ～100.0ha</t>
  </si>
  <si>
    <t>100.0ha以上</t>
  </si>
  <si>
    <t>全　　国　　計</t>
  </si>
  <si>
    <t>農産物
販売金額規模別
農業経営体数</t>
  </si>
  <si>
    <t>経営組織別
（部門別）
農業経営体数</t>
  </si>
  <si>
    <t>農産物
出荷先別
農業経営体数</t>
  </si>
  <si>
    <t>経営耕地
面積規模別
農業経営体数</t>
  </si>
  <si>
    <t>（単位：人）</t>
  </si>
  <si>
    <t>農業労働力
（雇用者）</t>
  </si>
  <si>
    <t>基幹的
農業従事者数</t>
  </si>
  <si>
    <t>経営耕地・
借入耕地面積</t>
  </si>
  <si>
    <t>（農林業経営体数等）</t>
  </si>
  <si>
    <t>（販売農家数、農業労働力等）</t>
  </si>
  <si>
    <t>（経営耕地面積、林業経営体数等）</t>
  </si>
  <si>
    <t>（単位：経営体）</t>
  </si>
  <si>
    <t>（単位：戸）</t>
  </si>
  <si>
    <t>（単位：ｈａ）</t>
  </si>
  <si>
    <r>
      <t>農業生産関連事業</t>
    </r>
    <r>
      <rPr>
        <sz val="11"/>
        <rFont val="HGSｺﾞｼｯｸM"/>
        <family val="3"/>
      </rPr>
      <t xml:space="preserve">
事業種類別
農業経営体数</t>
    </r>
  </si>
  <si>
    <t>項　　　　　　　　　　目</t>
  </si>
  <si>
    <t>－</t>
  </si>
  <si>
    <t>法　人</t>
  </si>
  <si>
    <t>法　人</t>
  </si>
  <si>
    <t>会　社</t>
  </si>
  <si>
    <t>稲　作</t>
  </si>
  <si>
    <t>果　樹</t>
  </si>
  <si>
    <t>総　農　家</t>
  </si>
  <si>
    <t>経営耕地
面積規模別面積</t>
  </si>
  <si>
    <t>準単一複合経営及び複合経営</t>
  </si>
  <si>
    <t>経営耕地なし</t>
  </si>
  <si>
    <t>（※1）</t>
  </si>
  <si>
    <t>1経営体あたり面積（※2）</t>
  </si>
  <si>
    <t>2015年農林業センサス　農林業経営体調査　主要項目一覧表　（ 富 山 県 ）</t>
  </si>
  <si>
    <t>H28.3.25公表</t>
  </si>
  <si>
    <t>平22（前回）</t>
  </si>
  <si>
    <t>（※）構成比は、平27（今回）における農林業経営体数又は農業経営体数に占める該当項目の割合である。</t>
  </si>
  <si>
    <t>平27（今回）</t>
  </si>
  <si>
    <t>家族経営体</t>
  </si>
  <si>
    <t>2015年農林業センサス　農林業経営体調査　主要項目一覧表　　（ 全　 国 ）</t>
  </si>
  <si>
    <t>（※）構成比は、平27（今回）における農業経営体数、販売農家数、総農家数、農業労働力又は農業就業人口に占める
　　　該当項目の割合である。</t>
  </si>
  <si>
    <t>（※1）構成比は、平27（今回）における基幹的農業従事者数、経営耕地面積、耕作放棄地面積又は林業経営体数に占め
　　　 る該当項目の割合である。
（※2）1経営体あたり面積＝経営耕地面積÷（農業経営体数－経営耕地のない農業経営体数）</t>
  </si>
  <si>
    <t>（※1）構成比は、平27（今回）における基幹的農業従事者数、経営耕地面積、耕作放棄地面積又は林業経営体数に占め
　　　 る該当項目の割合である。
（※2）1経営体あたり面積＝経営耕地面積÷（農業経営体数－経営耕地のない農業経営体数）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</si>
</sst>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_ "/>
    <numFmt numFmtId="179" formatCode="0.0;&quot;△ &quot;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 ###\ ##0\ "/>
    <numFmt numFmtId="187" formatCode="#,##0.00_ "/>
    <numFmt numFmtId="188" formatCode="0;&quot;△ &quot;0"/>
    <numFmt numFmtId="189" formatCode="#,##0;&quot;△ &quot;#,##0"/>
    <numFmt numFmtId="190" formatCode="#,##0.00;&quot;△ &quot;#,##0.00"/>
    <numFmt numFmtId="191" formatCode="0_);[Red]\(0\)"/>
    <numFmt numFmtId="192" formatCode="#,##0_);[Red]\(#,##0\)"/>
    <numFmt numFmtId="193" formatCode="0.0_);[Red]\(0.0\)"/>
    <numFmt numFmtId="194" formatCode="* ###\ ###\ ##0_ ;_ * \-#\ ##0_ ;_ * &quot;-&quot;_ ;_ @_ "/>
    <numFmt numFmtId="195" formatCode="0.00_ "/>
    <numFmt numFmtId="196" formatCode="0.00\ "/>
    <numFmt numFmtId="197" formatCode="0.00_);[Red]\(0.00\)"/>
    <numFmt numFmtId="198" formatCode="#\ ###\ ###\ ##0"/>
    <numFmt numFmtId="199" formatCode="0.0"/>
    <numFmt numFmtId="200" formatCode="###.0"/>
    <numFmt numFmtId="201" formatCode="###\ ###\ ###\ "/>
    <numFmt numFmtId="202" formatCode="#\ ###\ ##0\ "/>
  </numFmts>
  <fonts count="49">
    <font>
      <sz val="11"/>
      <name val="ＭＳ Ｐゴシック"/>
      <family val="3"/>
    </font>
    <font>
      <sz val="11"/>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6"/>
      <name val="HGSｺﾞｼｯｸM"/>
      <family val="3"/>
    </font>
    <font>
      <sz val="11"/>
      <name val="HGSｺﾞｼｯｸM"/>
      <family val="3"/>
    </font>
    <font>
      <sz val="10"/>
      <name val="HGSｺﾞｼｯｸM"/>
      <family val="3"/>
    </font>
    <font>
      <b/>
      <sz val="16"/>
      <name val="HGSｺﾞｼｯｸM"/>
      <family val="3"/>
    </font>
    <font>
      <b/>
      <sz val="16"/>
      <name val="ＭＳ Ｐゴシック"/>
      <family val="3"/>
    </font>
    <font>
      <sz val="12"/>
      <name val="HGSｺﾞｼｯｸM"/>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style="thin"/>
      <bottom>
        <color indexed="63"/>
      </bottom>
    </border>
    <border>
      <left style="thin"/>
      <right style="thin"/>
      <top style="hair"/>
      <bottom style="hair"/>
    </border>
    <border>
      <left style="thin"/>
      <right>
        <color indexed="63"/>
      </right>
      <top style="hair"/>
      <bottom style="hair"/>
    </border>
    <border>
      <left style="medium"/>
      <right style="thin"/>
      <top style="hair"/>
      <bottom>
        <color indexed="63"/>
      </bottom>
    </border>
    <border>
      <left style="thin"/>
      <right>
        <color indexed="63"/>
      </right>
      <top style="hair"/>
      <bottom>
        <color indexed="63"/>
      </bottom>
    </border>
    <border>
      <left style="thin"/>
      <right style="medium"/>
      <top style="hair"/>
      <bottom style="hair"/>
    </border>
    <border>
      <left style="thin"/>
      <right style="thin"/>
      <top style="hair"/>
      <bottom>
        <color indexed="63"/>
      </bottom>
    </border>
    <border>
      <left style="medium"/>
      <right style="thin"/>
      <top style="hair"/>
      <bottom style="hair"/>
    </border>
    <border>
      <left style="thin"/>
      <right style="medium"/>
      <top>
        <color indexed="63"/>
      </top>
      <bottom>
        <color indexed="63"/>
      </bottom>
    </border>
    <border>
      <left style="medium"/>
      <right>
        <color indexed="63"/>
      </right>
      <top style="double"/>
      <bottom>
        <color indexed="63"/>
      </bottom>
    </border>
    <border>
      <left style="thin"/>
      <right style="thin"/>
      <top style="double"/>
      <bottom style="hair"/>
    </border>
    <border>
      <left style="thin"/>
      <right>
        <color indexed="63"/>
      </right>
      <top style="double"/>
      <bottom>
        <color indexed="63"/>
      </bottom>
    </border>
    <border>
      <left style="medium"/>
      <right style="thin"/>
      <top style="double"/>
      <bottom>
        <color indexed="63"/>
      </bottom>
    </border>
    <border>
      <left style="thin"/>
      <right style="medium"/>
      <top style="double"/>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color indexed="63"/>
      </right>
      <top style="hair"/>
      <bottom style="hair"/>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color indexed="63"/>
      </right>
      <top style="thin"/>
      <bottom style="double"/>
    </border>
    <border>
      <left style="thin"/>
      <right>
        <color indexed="63"/>
      </right>
      <top style="double"/>
      <bottom style="hair"/>
    </border>
    <border>
      <left style="thin"/>
      <right style="medium"/>
      <top style="double"/>
      <bottom style="hair"/>
    </border>
    <border>
      <left style="medium"/>
      <right style="thin"/>
      <top style="hair"/>
      <bottom style="double"/>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style="thin"/>
      <top style="thin"/>
      <bottom>
        <color indexed="63"/>
      </bottom>
    </border>
    <border>
      <left style="thin"/>
      <right style="thin"/>
      <top style="thin"/>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thin"/>
      <bottom style="hair"/>
    </border>
    <border>
      <left style="thin"/>
      <right style="thin"/>
      <top style="thin"/>
      <bottom style="hair"/>
    </border>
    <border>
      <left style="medium"/>
      <right style="thin"/>
      <top>
        <color indexed="63"/>
      </top>
      <bottom style="thin"/>
    </border>
    <border>
      <left style="thin"/>
      <right style="thin"/>
      <top>
        <color indexed="63"/>
      </top>
      <bottom style="thin"/>
    </border>
    <border>
      <left style="thin"/>
      <right style="medium"/>
      <top style="double"/>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color indexed="63"/>
      </left>
      <right style="thin"/>
      <top>
        <color indexed="63"/>
      </top>
      <bottom style="thin"/>
    </border>
    <border>
      <left style="medium"/>
      <right>
        <color indexed="63"/>
      </right>
      <top>
        <color indexed="63"/>
      </top>
      <bottom style="hair"/>
    </border>
    <border>
      <left>
        <color indexed="63"/>
      </left>
      <right style="thin"/>
      <top style="hair"/>
      <bottom>
        <color indexed="63"/>
      </bottom>
    </border>
    <border>
      <left style="medium"/>
      <right>
        <color indexed="63"/>
      </right>
      <top style="hair"/>
      <bottom style="double"/>
    </border>
    <border>
      <left>
        <color indexed="63"/>
      </left>
      <right style="thin"/>
      <top style="hair"/>
      <bottom style="double"/>
    </border>
    <border>
      <left style="thin"/>
      <right style="thin"/>
      <top style="double"/>
      <bottom>
        <color indexed="63"/>
      </bottom>
    </border>
    <border>
      <left style="medium"/>
      <right>
        <color indexed="63"/>
      </right>
      <top>
        <color indexed="63"/>
      </top>
      <bottom style="double"/>
    </border>
    <border>
      <left style="medium"/>
      <right>
        <color indexed="63"/>
      </right>
      <top style="double"/>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color indexed="63"/>
      </left>
      <right>
        <color indexed="63"/>
      </right>
      <top>
        <color indexed="63"/>
      </top>
      <bottom style="medium"/>
    </border>
    <border>
      <left style="thin"/>
      <right style="medium"/>
      <top>
        <color indexed="63"/>
      </top>
      <bottom style="double"/>
    </border>
    <border>
      <left>
        <color indexed="63"/>
      </left>
      <right style="medium"/>
      <top>
        <color indexed="63"/>
      </top>
      <bottom>
        <color indexed="63"/>
      </bottom>
    </border>
    <border>
      <left>
        <color indexed="63"/>
      </left>
      <right style="thin"/>
      <top style="double"/>
      <bottom style="thin"/>
    </border>
    <border>
      <left style="thin"/>
      <right style="medium"/>
      <top style="hair"/>
      <bottom style="medium"/>
    </border>
    <border>
      <left style="medium"/>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color indexed="63"/>
      </bottom>
    </border>
    <border>
      <left style="medium"/>
      <right>
        <color indexed="63"/>
      </right>
      <top>
        <color indexed="63"/>
      </top>
      <bottom style="thin"/>
    </border>
    <border>
      <left style="medium"/>
      <right>
        <color indexed="63"/>
      </right>
      <top style="hair"/>
      <bottom>
        <color indexed="63"/>
      </bottom>
    </border>
    <border>
      <left style="medium"/>
      <right style="thin"/>
      <top style="double"/>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thin"/>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double"/>
    </border>
    <border>
      <left>
        <color indexed="63"/>
      </left>
      <right style="medium"/>
      <top style="hair"/>
      <bottom style="double"/>
    </border>
    <border>
      <left style="hair"/>
      <right style="hair"/>
      <top>
        <color indexed="63"/>
      </top>
      <bottom style="double"/>
    </border>
    <border>
      <left style="hair"/>
      <right>
        <color indexed="63"/>
      </right>
      <top style="hair"/>
      <bottom style="double"/>
    </border>
    <border>
      <left style="medium"/>
      <right>
        <color indexed="63"/>
      </right>
      <top>
        <color indexed="63"/>
      </top>
      <bottom style="medium"/>
    </border>
    <border>
      <left style="thin"/>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double"/>
    </border>
    <border>
      <left>
        <color indexed="63"/>
      </left>
      <right style="medium"/>
      <top>
        <color indexed="63"/>
      </top>
      <bottom style="double"/>
    </border>
    <border>
      <left style="thin"/>
      <right style="hair"/>
      <top>
        <color indexed="63"/>
      </top>
      <bottom style="double"/>
    </border>
    <border>
      <left style="medium"/>
      <right>
        <color indexed="63"/>
      </right>
      <top style="thin"/>
      <bottom style="thin"/>
    </border>
    <border>
      <left>
        <color indexed="63"/>
      </left>
      <right style="thin"/>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hair"/>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ouble"/>
      <bottom style="medium"/>
    </border>
    <border>
      <left>
        <color indexed="63"/>
      </left>
      <right style="medium"/>
      <top style="double"/>
      <bottom style="medium"/>
    </border>
    <border>
      <left style="hair"/>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hair"/>
      <bottom style="thin"/>
    </border>
    <border>
      <left style="thin"/>
      <right>
        <color indexed="63"/>
      </right>
      <top style="thin"/>
      <bottom style="hair"/>
    </border>
    <border>
      <left style="thin"/>
      <right>
        <color indexed="63"/>
      </right>
      <top style="hair"/>
      <bottom style="thin"/>
    </border>
    <border>
      <left>
        <color indexed="63"/>
      </left>
      <right style="medium"/>
      <top style="thin"/>
      <bottom style="hair"/>
    </border>
    <border>
      <left style="hair"/>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464">
    <xf numFmtId="0" fontId="0" fillId="0" borderId="0" xfId="0" applyAlignment="1">
      <alignment vertical="center"/>
    </xf>
    <xf numFmtId="176" fontId="1"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89" fontId="7" fillId="0" borderId="10" xfId="0" applyNumberFormat="1" applyFont="1" applyFill="1" applyBorder="1" applyAlignment="1">
      <alignment vertical="center"/>
    </xf>
    <xf numFmtId="177" fontId="7" fillId="0" borderId="10" xfId="0" applyNumberFormat="1" applyFont="1" applyFill="1" applyBorder="1" applyAlignment="1">
      <alignment vertical="center"/>
    </xf>
    <xf numFmtId="177" fontId="8" fillId="0" borderId="11" xfId="0" applyNumberFormat="1" applyFont="1" applyFill="1" applyBorder="1" applyAlignment="1">
      <alignment vertical="center"/>
    </xf>
    <xf numFmtId="176" fontId="7" fillId="0" borderId="12" xfId="0" applyNumberFormat="1" applyFont="1" applyFill="1" applyBorder="1" applyAlignment="1">
      <alignment horizontal="right" vertical="center"/>
    </xf>
    <xf numFmtId="189" fontId="7" fillId="0" borderId="10" xfId="0" applyNumberFormat="1" applyFont="1" applyFill="1" applyBorder="1" applyAlignment="1">
      <alignment vertical="center" shrinkToFit="1"/>
    </xf>
    <xf numFmtId="177" fontId="8" fillId="0" borderId="13" xfId="0" applyNumberFormat="1" applyFont="1" applyFill="1" applyBorder="1" applyAlignment="1">
      <alignment vertical="center"/>
    </xf>
    <xf numFmtId="189" fontId="7" fillId="0" borderId="14" xfId="0" applyNumberFormat="1" applyFont="1" applyFill="1" applyBorder="1" applyAlignment="1">
      <alignment vertical="center"/>
    </xf>
    <xf numFmtId="177" fontId="8" fillId="0" borderId="15" xfId="0" applyNumberFormat="1" applyFont="1" applyFill="1" applyBorder="1" applyAlignment="1">
      <alignment vertical="center"/>
    </xf>
    <xf numFmtId="176" fontId="7" fillId="0" borderId="16"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89" fontId="7" fillId="0" borderId="14" xfId="0" applyNumberFormat="1" applyFont="1" applyFill="1" applyBorder="1" applyAlignment="1">
      <alignment vertical="center" shrinkToFit="1"/>
    </xf>
    <xf numFmtId="177" fontId="7" fillId="0" borderId="15" xfId="0" applyNumberFormat="1" applyFont="1" applyFill="1" applyBorder="1" applyAlignment="1">
      <alignment vertical="center"/>
    </xf>
    <xf numFmtId="177" fontId="8" fillId="0" borderId="18" xfId="0" applyNumberFormat="1" applyFont="1" applyFill="1" applyBorder="1" applyAlignment="1">
      <alignment vertical="center"/>
    </xf>
    <xf numFmtId="176" fontId="8" fillId="0" borderId="19" xfId="0" applyNumberFormat="1" applyFont="1" applyFill="1" applyBorder="1" applyAlignment="1">
      <alignment vertical="center"/>
    </xf>
    <xf numFmtId="189" fontId="8" fillId="0" borderId="14" xfId="0" applyNumberFormat="1" applyFont="1" applyFill="1" applyBorder="1" applyAlignment="1">
      <alignment vertical="center"/>
    </xf>
    <xf numFmtId="177" fontId="8" fillId="0" borderId="17" xfId="0" applyNumberFormat="1" applyFont="1" applyFill="1" applyBorder="1" applyAlignment="1">
      <alignment vertical="center"/>
    </xf>
    <xf numFmtId="176" fontId="8" fillId="0" borderId="16"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89" fontId="8" fillId="0" borderId="14" xfId="0" applyNumberFormat="1" applyFont="1" applyFill="1" applyBorder="1" applyAlignment="1">
      <alignment vertical="center" shrinkToFit="1"/>
    </xf>
    <xf numFmtId="189" fontId="8" fillId="0" borderId="14" xfId="0" applyNumberFormat="1" applyFont="1" applyFill="1" applyBorder="1" applyAlignment="1">
      <alignment vertical="center"/>
    </xf>
    <xf numFmtId="176" fontId="8" fillId="0" borderId="20"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89"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177" fontId="8" fillId="0" borderId="21" xfId="0" applyNumberFormat="1" applyFont="1" applyFill="1" applyBorder="1" applyAlignment="1">
      <alignment vertical="center"/>
    </xf>
    <xf numFmtId="176" fontId="7" fillId="0" borderId="22" xfId="0" applyNumberFormat="1" applyFont="1" applyFill="1" applyBorder="1" applyAlignment="1">
      <alignment vertical="center" shrinkToFit="1"/>
    </xf>
    <xf numFmtId="176" fontId="7" fillId="0" borderId="23" xfId="0" applyNumberFormat="1" applyFont="1" applyFill="1" applyBorder="1" applyAlignment="1">
      <alignment vertical="center" shrinkToFit="1"/>
    </xf>
    <xf numFmtId="189" fontId="7" fillId="0" borderId="24" xfId="0" applyNumberFormat="1" applyFont="1" applyFill="1" applyBorder="1" applyAlignment="1">
      <alignment vertical="center"/>
    </xf>
    <xf numFmtId="177" fontId="7" fillId="0" borderId="24" xfId="0" applyNumberFormat="1" applyFont="1" applyFill="1" applyBorder="1" applyAlignment="1">
      <alignment vertical="center" shrinkToFit="1"/>
    </xf>
    <xf numFmtId="177" fontId="8" fillId="0" borderId="24" xfId="0" applyNumberFormat="1" applyFont="1" applyFill="1" applyBorder="1" applyAlignment="1">
      <alignment vertical="center"/>
    </xf>
    <xf numFmtId="176" fontId="7" fillId="0" borderId="25" xfId="0" applyNumberFormat="1" applyFont="1" applyFill="1" applyBorder="1" applyAlignment="1">
      <alignment horizontal="right" vertical="center" shrinkToFit="1"/>
    </xf>
    <xf numFmtId="176" fontId="7" fillId="0" borderId="24" xfId="0" applyNumberFormat="1" applyFont="1" applyFill="1" applyBorder="1" applyAlignment="1">
      <alignment horizontal="right" vertical="center" shrinkToFit="1"/>
    </xf>
    <xf numFmtId="189" fontId="7" fillId="0" borderId="24" xfId="0" applyNumberFormat="1" applyFont="1" applyFill="1" applyBorder="1" applyAlignment="1">
      <alignment vertical="center" shrinkToFit="1"/>
    </xf>
    <xf numFmtId="177" fontId="7" fillId="0" borderId="24" xfId="0" applyNumberFormat="1" applyFont="1" applyFill="1" applyBorder="1" applyAlignment="1">
      <alignment vertical="center"/>
    </xf>
    <xf numFmtId="177" fontId="8" fillId="0" borderId="26" xfId="0" applyNumberFormat="1" applyFont="1" applyFill="1" applyBorder="1" applyAlignment="1">
      <alignment vertical="center"/>
    </xf>
    <xf numFmtId="176" fontId="8" fillId="0" borderId="16"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20" xfId="0" applyNumberFormat="1" applyFont="1" applyFill="1" applyBorder="1" applyAlignment="1">
      <alignment vertical="center"/>
    </xf>
    <xf numFmtId="177" fontId="8" fillId="0" borderId="27" xfId="0" applyNumberFormat="1" applyFont="1" applyFill="1" applyBorder="1" applyAlignment="1">
      <alignment vertical="center"/>
    </xf>
    <xf numFmtId="189" fontId="8" fillId="0" borderId="10" xfId="0" applyNumberFormat="1" applyFont="1" applyFill="1" applyBorder="1" applyAlignment="1">
      <alignment vertical="center" shrinkToFit="1"/>
    </xf>
    <xf numFmtId="177" fontId="8" fillId="0" borderId="28" xfId="0" applyNumberFormat="1" applyFont="1" applyFill="1" applyBorder="1" applyAlignment="1">
      <alignment vertical="center"/>
    </xf>
    <xf numFmtId="176" fontId="8" fillId="0" borderId="29" xfId="0" applyNumberFormat="1" applyFont="1" applyFill="1" applyBorder="1" applyAlignment="1">
      <alignment vertical="center" shrinkToFit="1"/>
    </xf>
    <xf numFmtId="176" fontId="8" fillId="0" borderId="30" xfId="0" applyNumberFormat="1" applyFont="1" applyFill="1" applyBorder="1" applyAlignment="1">
      <alignment vertical="center" shrinkToFit="1"/>
    </xf>
    <xf numFmtId="189" fontId="8" fillId="0" borderId="30" xfId="0" applyNumberFormat="1" applyFont="1" applyFill="1" applyBorder="1" applyAlignment="1">
      <alignment vertical="center"/>
    </xf>
    <xf numFmtId="177" fontId="8" fillId="0" borderId="31" xfId="0" applyNumberFormat="1" applyFont="1" applyFill="1" applyBorder="1" applyAlignment="1">
      <alignment vertical="center" shrinkToFit="1"/>
    </xf>
    <xf numFmtId="177" fontId="8" fillId="0" borderId="31" xfId="0" applyNumberFormat="1" applyFont="1" applyFill="1" applyBorder="1" applyAlignment="1">
      <alignment vertical="center"/>
    </xf>
    <xf numFmtId="176" fontId="8" fillId="0" borderId="29" xfId="0" applyNumberFormat="1" applyFont="1" applyFill="1" applyBorder="1" applyAlignment="1">
      <alignment horizontal="right" vertical="center" shrinkToFit="1"/>
    </xf>
    <xf numFmtId="176" fontId="8" fillId="0" borderId="31" xfId="0" applyNumberFormat="1" applyFont="1" applyFill="1" applyBorder="1" applyAlignment="1">
      <alignment horizontal="right" vertical="center" shrinkToFit="1"/>
    </xf>
    <xf numFmtId="189" fontId="8" fillId="0" borderId="30" xfId="0" applyNumberFormat="1" applyFont="1" applyFill="1" applyBorder="1" applyAlignment="1">
      <alignment vertical="center" shrinkToFit="1"/>
    </xf>
    <xf numFmtId="177" fontId="8" fillId="0" borderId="32" xfId="0" applyNumberFormat="1" applyFont="1" applyFill="1" applyBorder="1" applyAlignment="1">
      <alignment vertical="center"/>
    </xf>
    <xf numFmtId="176" fontId="8" fillId="0" borderId="33" xfId="0" applyNumberFormat="1" applyFont="1" applyFill="1" applyBorder="1" applyAlignment="1">
      <alignment vertical="center"/>
    </xf>
    <xf numFmtId="176" fontId="8" fillId="0" borderId="34" xfId="0" applyNumberFormat="1" applyFont="1" applyFill="1" applyBorder="1" applyAlignment="1">
      <alignment vertical="center"/>
    </xf>
    <xf numFmtId="176" fontId="8" fillId="0" borderId="33" xfId="0" applyNumberFormat="1" applyFont="1" applyFill="1" applyBorder="1" applyAlignment="1">
      <alignment horizontal="right" vertical="center"/>
    </xf>
    <xf numFmtId="176" fontId="8" fillId="0" borderId="35" xfId="0" applyNumberFormat="1" applyFont="1" applyFill="1" applyBorder="1" applyAlignment="1">
      <alignment horizontal="right" vertical="center"/>
    </xf>
    <xf numFmtId="176" fontId="8" fillId="0" borderId="36"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2"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38"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9"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189" fontId="8" fillId="0" borderId="40" xfId="0" applyNumberFormat="1" applyFont="1" applyFill="1" applyBorder="1" applyAlignment="1">
      <alignment vertical="center"/>
    </xf>
    <xf numFmtId="177" fontId="8" fillId="0" borderId="41" xfId="0" applyNumberFormat="1" applyFont="1" applyFill="1" applyBorder="1" applyAlignment="1">
      <alignment vertical="center" shrinkToFit="1"/>
    </xf>
    <xf numFmtId="176" fontId="8" fillId="0" borderId="42" xfId="0" applyNumberFormat="1" applyFont="1" applyFill="1" applyBorder="1" applyAlignment="1">
      <alignment horizontal="right" vertical="center" shrinkToFit="1"/>
    </xf>
    <xf numFmtId="176" fontId="8" fillId="0" borderId="40" xfId="0" applyNumberFormat="1" applyFont="1" applyFill="1" applyBorder="1" applyAlignment="1">
      <alignment horizontal="right" vertical="center" shrinkToFit="1"/>
    </xf>
    <xf numFmtId="189" fontId="8" fillId="0" borderId="40" xfId="0" applyNumberFormat="1" applyFont="1" applyFill="1" applyBorder="1" applyAlignment="1">
      <alignment vertical="center" shrinkToFit="1"/>
    </xf>
    <xf numFmtId="177" fontId="8" fillId="0" borderId="41" xfId="0" applyNumberFormat="1" applyFont="1" applyFill="1" applyBorder="1" applyAlignment="1">
      <alignment vertical="center"/>
    </xf>
    <xf numFmtId="176" fontId="7" fillId="0" borderId="34"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177" fontId="8" fillId="0" borderId="43" xfId="0" applyNumberFormat="1" applyFont="1" applyFill="1" applyBorder="1" applyAlignment="1">
      <alignment vertical="center"/>
    </xf>
    <xf numFmtId="176" fontId="7" fillId="0" borderId="12" xfId="0" applyNumberFormat="1" applyFont="1" applyFill="1" applyBorder="1" applyAlignment="1">
      <alignment horizontal="right" vertical="center" shrinkToFit="1"/>
    </xf>
    <xf numFmtId="176" fontId="7" fillId="0" borderId="10" xfId="0" applyNumberFormat="1" applyFont="1" applyFill="1" applyBorder="1" applyAlignment="1">
      <alignment horizontal="right" vertical="center" shrinkToFit="1"/>
    </xf>
    <xf numFmtId="177" fontId="8" fillId="0" borderId="44" xfId="0" applyNumberFormat="1" applyFont="1" applyFill="1" applyBorder="1" applyAlignment="1">
      <alignment vertical="center"/>
    </xf>
    <xf numFmtId="189" fontId="8" fillId="0" borderId="19" xfId="0" applyNumberFormat="1" applyFont="1" applyFill="1" applyBorder="1" applyAlignment="1">
      <alignment vertical="center" shrinkToFit="1"/>
    </xf>
    <xf numFmtId="176" fontId="8" fillId="0" borderId="45" xfId="0" applyNumberFormat="1" applyFont="1" applyFill="1" applyBorder="1" applyAlignment="1">
      <alignment vertical="center"/>
    </xf>
    <xf numFmtId="176" fontId="8" fillId="0" borderId="46" xfId="0" applyNumberFormat="1" applyFont="1" applyFill="1" applyBorder="1" applyAlignment="1">
      <alignment vertical="center"/>
    </xf>
    <xf numFmtId="189" fontId="8" fillId="0" borderId="46" xfId="0" applyNumberFormat="1" applyFont="1" applyFill="1" applyBorder="1" applyAlignment="1">
      <alignment vertical="center"/>
    </xf>
    <xf numFmtId="177" fontId="8" fillId="0" borderId="47" xfId="0" applyNumberFormat="1" applyFont="1" applyFill="1" applyBorder="1" applyAlignment="1">
      <alignment vertical="center"/>
    </xf>
    <xf numFmtId="176" fontId="8" fillId="0" borderId="45" xfId="0" applyNumberFormat="1" applyFont="1" applyFill="1" applyBorder="1" applyAlignment="1">
      <alignment horizontal="right" vertical="center"/>
    </xf>
    <xf numFmtId="176" fontId="8" fillId="0" borderId="47" xfId="0" applyNumberFormat="1" applyFont="1" applyFill="1" applyBorder="1" applyAlignment="1">
      <alignment horizontal="right" vertical="center"/>
    </xf>
    <xf numFmtId="189" fontId="8" fillId="0" borderId="46" xfId="0" applyNumberFormat="1" applyFont="1" applyFill="1" applyBorder="1" applyAlignment="1">
      <alignment vertical="center" shrinkToFit="1"/>
    </xf>
    <xf numFmtId="177" fontId="8" fillId="0" borderId="48" xfId="0" applyNumberFormat="1" applyFont="1" applyFill="1" applyBorder="1" applyAlignment="1">
      <alignment vertical="center"/>
    </xf>
    <xf numFmtId="176"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6" fontId="8" fillId="0" borderId="0" xfId="0" applyNumberFormat="1" applyFont="1" applyFill="1" applyBorder="1" applyAlignment="1">
      <alignment horizontal="right" vertical="center" shrinkToFit="1"/>
    </xf>
    <xf numFmtId="189" fontId="8" fillId="0" borderId="0" xfId="0" applyNumberFormat="1" applyFont="1" applyFill="1" applyBorder="1" applyAlignment="1">
      <alignment vertical="center" shrinkToFit="1"/>
    </xf>
    <xf numFmtId="176" fontId="7" fillId="0" borderId="49" xfId="0" applyNumberFormat="1" applyFont="1" applyFill="1" applyBorder="1" applyAlignment="1">
      <alignment horizontal="center" vertical="center" shrinkToFit="1"/>
    </xf>
    <xf numFmtId="176" fontId="7" fillId="0" borderId="5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176" fontId="7" fillId="0" borderId="51" xfId="0" applyNumberFormat="1" applyFont="1" applyFill="1" applyBorder="1" applyAlignment="1">
      <alignment horizontal="center" vertical="center" shrinkToFit="1"/>
    </xf>
    <xf numFmtId="176" fontId="7" fillId="0" borderId="52" xfId="0" applyNumberFormat="1" applyFont="1" applyFill="1" applyBorder="1" applyAlignment="1">
      <alignment horizontal="center" vertical="center" shrinkToFit="1"/>
    </xf>
    <xf numFmtId="176" fontId="7" fillId="0" borderId="53" xfId="0" applyNumberFormat="1" applyFont="1" applyFill="1" applyBorder="1" applyAlignment="1">
      <alignment horizontal="center" vertical="center" shrinkToFit="1"/>
    </xf>
    <xf numFmtId="176" fontId="7" fillId="0" borderId="38" xfId="0" applyNumberFormat="1" applyFont="1" applyFill="1" applyBorder="1" applyAlignment="1">
      <alignment vertical="center"/>
    </xf>
    <xf numFmtId="176" fontId="7" fillId="0" borderId="34" xfId="0" applyNumberFormat="1" applyFont="1" applyFill="1" applyBorder="1" applyAlignment="1">
      <alignment vertical="center"/>
    </xf>
    <xf numFmtId="176" fontId="8" fillId="0" borderId="30" xfId="0" applyNumberFormat="1" applyFont="1" applyFill="1" applyBorder="1" applyAlignment="1">
      <alignment vertical="center"/>
    </xf>
    <xf numFmtId="176" fontId="8" fillId="0" borderId="54" xfId="0" applyNumberFormat="1" applyFont="1" applyFill="1" applyBorder="1" applyAlignment="1">
      <alignment vertical="center"/>
    </xf>
    <xf numFmtId="176" fontId="8" fillId="0" borderId="55" xfId="0" applyNumberFormat="1" applyFont="1" applyFill="1" applyBorder="1" applyAlignment="1">
      <alignment vertical="center"/>
    </xf>
    <xf numFmtId="189" fontId="8" fillId="0" borderId="15" xfId="0" applyNumberFormat="1" applyFont="1" applyFill="1" applyBorder="1" applyAlignment="1">
      <alignment vertical="center"/>
    </xf>
    <xf numFmtId="176" fontId="8" fillId="0" borderId="56" xfId="0" applyNumberFormat="1" applyFont="1" applyFill="1" applyBorder="1" applyAlignment="1">
      <alignment vertical="center"/>
    </xf>
    <xf numFmtId="176" fontId="8" fillId="0" borderId="57" xfId="0" applyNumberFormat="1" applyFont="1" applyFill="1" applyBorder="1" applyAlignment="1">
      <alignment vertical="center"/>
    </xf>
    <xf numFmtId="177" fontId="8" fillId="0" borderId="58" xfId="0" applyNumberFormat="1" applyFont="1" applyFill="1" applyBorder="1" applyAlignment="1">
      <alignment vertical="center"/>
    </xf>
    <xf numFmtId="176" fontId="8" fillId="0" borderId="59" xfId="0" applyNumberFormat="1" applyFont="1" applyFill="1" applyBorder="1" applyAlignment="1">
      <alignment vertical="center"/>
    </xf>
    <xf numFmtId="176" fontId="8" fillId="0" borderId="50" xfId="0" applyNumberFormat="1" applyFont="1" applyFill="1" applyBorder="1" applyAlignment="1">
      <alignment vertical="center"/>
    </xf>
    <xf numFmtId="189" fontId="8" fillId="0" borderId="60" xfId="0" applyNumberFormat="1" applyFont="1" applyFill="1" applyBorder="1" applyAlignment="1">
      <alignment vertical="center"/>
    </xf>
    <xf numFmtId="189" fontId="8" fillId="0" borderId="61" xfId="0" applyNumberFormat="1" applyFont="1" applyFill="1" applyBorder="1" applyAlignment="1">
      <alignment vertical="center"/>
    </xf>
    <xf numFmtId="189" fontId="8" fillId="0" borderId="62" xfId="0" applyNumberFormat="1" applyFont="1" applyFill="1" applyBorder="1" applyAlignment="1">
      <alignment vertical="center"/>
    </xf>
    <xf numFmtId="176" fontId="8" fillId="0" borderId="63" xfId="0" applyNumberFormat="1" applyFont="1" applyFill="1" applyBorder="1" applyAlignment="1">
      <alignment vertical="center"/>
    </xf>
    <xf numFmtId="177" fontId="8" fillId="0" borderId="35" xfId="0" applyNumberFormat="1" applyFont="1" applyFill="1" applyBorder="1" applyAlignment="1">
      <alignment vertical="center"/>
    </xf>
    <xf numFmtId="176" fontId="8" fillId="0" borderId="36" xfId="0" applyNumberFormat="1" applyFont="1" applyFill="1" applyBorder="1" applyAlignment="1">
      <alignment vertical="center"/>
    </xf>
    <xf numFmtId="189" fontId="8" fillId="0" borderId="64" xfId="0" applyNumberFormat="1" applyFont="1" applyFill="1" applyBorder="1" applyAlignment="1">
      <alignment vertical="center"/>
    </xf>
    <xf numFmtId="178" fontId="8" fillId="0" borderId="65" xfId="0" applyNumberFormat="1" applyFont="1" applyFill="1" applyBorder="1" applyAlignment="1">
      <alignment vertical="center"/>
    </xf>
    <xf numFmtId="178" fontId="8" fillId="0" borderId="46" xfId="0" applyNumberFormat="1" applyFont="1" applyFill="1" applyBorder="1" applyAlignment="1">
      <alignment vertical="center"/>
    </xf>
    <xf numFmtId="177" fontId="8" fillId="0" borderId="66" xfId="0" applyNumberFormat="1" applyFont="1" applyFill="1" applyBorder="1" applyAlignment="1">
      <alignment vertical="center"/>
    </xf>
    <xf numFmtId="176" fontId="7" fillId="0" borderId="23" xfId="0" applyNumberFormat="1" applyFont="1" applyFill="1" applyBorder="1" applyAlignment="1">
      <alignment vertical="center"/>
    </xf>
    <xf numFmtId="189" fontId="7" fillId="0" borderId="23" xfId="0" applyNumberFormat="1" applyFont="1" applyFill="1" applyBorder="1" applyAlignment="1">
      <alignment vertical="center"/>
    </xf>
    <xf numFmtId="177" fontId="7" fillId="0" borderId="43" xfId="0" applyNumberFormat="1" applyFont="1" applyFill="1" applyBorder="1" applyAlignment="1">
      <alignment vertical="center"/>
    </xf>
    <xf numFmtId="176" fontId="7" fillId="0" borderId="43" xfId="0" applyNumberFormat="1" applyFont="1" applyFill="1" applyBorder="1" applyAlignment="1">
      <alignment horizontal="right" vertical="center"/>
    </xf>
    <xf numFmtId="189" fontId="7" fillId="0" borderId="23" xfId="0" applyNumberFormat="1" applyFont="1" applyFill="1" applyBorder="1" applyAlignment="1">
      <alignment vertical="center" shrinkToFit="1"/>
    </xf>
    <xf numFmtId="176" fontId="8" fillId="0" borderId="53" xfId="0" applyNumberFormat="1" applyFont="1" applyFill="1" applyBorder="1" applyAlignment="1">
      <alignment horizontal="right" vertical="center"/>
    </xf>
    <xf numFmtId="176" fontId="7" fillId="0" borderId="22" xfId="0" applyNumberFormat="1" applyFont="1" applyFill="1" applyBorder="1" applyAlignment="1">
      <alignment vertical="center"/>
    </xf>
    <xf numFmtId="189" fontId="7" fillId="0" borderId="67" xfId="0" applyNumberFormat="1" applyFont="1" applyFill="1" applyBorder="1" applyAlignment="1">
      <alignment vertical="center"/>
    </xf>
    <xf numFmtId="176" fontId="8" fillId="0" borderId="68" xfId="0" applyNumberFormat="1" applyFont="1" applyFill="1" applyBorder="1" applyAlignment="1">
      <alignment vertical="center"/>
    </xf>
    <xf numFmtId="176" fontId="8" fillId="0" borderId="52" xfId="0" applyNumberFormat="1" applyFont="1" applyFill="1" applyBorder="1" applyAlignment="1">
      <alignment vertical="center"/>
    </xf>
    <xf numFmtId="189" fontId="7" fillId="0" borderId="67" xfId="0" applyNumberFormat="1" applyFont="1" applyFill="1" applyBorder="1" applyAlignment="1">
      <alignment vertical="center" shrinkToFit="1"/>
    </xf>
    <xf numFmtId="192" fontId="8" fillId="0" borderId="20" xfId="61" applyNumberFormat="1" applyFont="1" applyFill="1" applyBorder="1" applyAlignment="1">
      <alignment horizontal="right" vertical="center" shrinkToFit="1"/>
      <protection/>
    </xf>
    <xf numFmtId="177" fontId="7" fillId="0" borderId="46" xfId="0" applyNumberFormat="1" applyFont="1" applyFill="1" applyBorder="1" applyAlignment="1">
      <alignment vertical="center"/>
    </xf>
    <xf numFmtId="177" fontId="7" fillId="0" borderId="47" xfId="0" applyNumberFormat="1" applyFont="1" applyFill="1" applyBorder="1" applyAlignment="1">
      <alignment horizontal="right" vertical="center"/>
    </xf>
    <xf numFmtId="192" fontId="7" fillId="0" borderId="69" xfId="0" applyNumberFormat="1" applyFont="1" applyFill="1" applyBorder="1" applyAlignment="1">
      <alignment horizontal="right" vertical="center"/>
    </xf>
    <xf numFmtId="192" fontId="7" fillId="0" borderId="43" xfId="0" applyNumberFormat="1" applyFont="1" applyFill="1" applyBorder="1" applyAlignment="1">
      <alignment horizontal="right" vertical="center"/>
    </xf>
    <xf numFmtId="176" fontId="7" fillId="0" borderId="70" xfId="0" applyNumberFormat="1"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192" fontId="8" fillId="0" borderId="36" xfId="0" applyNumberFormat="1" applyFont="1" applyFill="1" applyBorder="1" applyAlignment="1">
      <alignment vertical="center"/>
    </xf>
    <xf numFmtId="192" fontId="8" fillId="0" borderId="14" xfId="0" applyNumberFormat="1" applyFont="1" applyFill="1" applyBorder="1" applyAlignment="1">
      <alignment vertical="center"/>
    </xf>
    <xf numFmtId="192" fontId="8" fillId="0" borderId="36" xfId="0" applyNumberFormat="1" applyFont="1" applyFill="1" applyBorder="1" applyAlignment="1">
      <alignment horizontal="right" vertical="center"/>
    </xf>
    <xf numFmtId="192" fontId="8" fillId="0" borderId="15" xfId="0" applyNumberFormat="1" applyFont="1" applyFill="1" applyBorder="1" applyAlignment="1">
      <alignment horizontal="right" vertical="center"/>
    </xf>
    <xf numFmtId="190" fontId="7" fillId="0" borderId="14" xfId="0" applyNumberFormat="1" applyFont="1" applyFill="1" applyBorder="1" applyAlignment="1">
      <alignment vertical="center"/>
    </xf>
    <xf numFmtId="190" fontId="7" fillId="0" borderId="14" xfId="0" applyNumberFormat="1" applyFont="1" applyFill="1" applyBorder="1" applyAlignment="1">
      <alignment vertical="center" shrinkToFit="1"/>
    </xf>
    <xf numFmtId="176" fontId="8" fillId="0" borderId="18" xfId="0" applyNumberFormat="1" applyFont="1" applyFill="1" applyBorder="1" applyAlignment="1">
      <alignment horizontal="right" vertical="center"/>
    </xf>
    <xf numFmtId="189" fontId="8" fillId="0" borderId="52" xfId="0" applyNumberFormat="1" applyFont="1" applyFill="1" applyBorder="1" applyAlignment="1">
      <alignment vertical="center"/>
    </xf>
    <xf numFmtId="177" fontId="8" fillId="0" borderId="53" xfId="0" applyNumberFormat="1" applyFont="1" applyFill="1" applyBorder="1" applyAlignment="1">
      <alignment vertical="center"/>
    </xf>
    <xf numFmtId="189" fontId="8" fillId="0" borderId="52" xfId="0" applyNumberFormat="1" applyFont="1" applyFill="1" applyBorder="1" applyAlignment="1">
      <alignment vertical="center" shrinkToFit="1"/>
    </xf>
    <xf numFmtId="189" fontId="7" fillId="0" borderId="34" xfId="0" applyNumberFormat="1" applyFont="1" applyFill="1" applyBorder="1" applyAlignment="1">
      <alignment vertical="center"/>
    </xf>
    <xf numFmtId="177" fontId="7" fillId="0" borderId="35" xfId="0" applyNumberFormat="1" applyFont="1" applyFill="1" applyBorder="1" applyAlignment="1">
      <alignment vertical="center"/>
    </xf>
    <xf numFmtId="176" fontId="7" fillId="0" borderId="33" xfId="0" applyNumberFormat="1" applyFont="1" applyFill="1" applyBorder="1" applyAlignment="1">
      <alignment horizontal="right" vertical="center"/>
    </xf>
    <xf numFmtId="189" fontId="7" fillId="0" borderId="34" xfId="0" applyNumberFormat="1" applyFont="1" applyFill="1" applyBorder="1" applyAlignment="1">
      <alignment vertical="center" shrinkToFit="1"/>
    </xf>
    <xf numFmtId="189" fontId="8" fillId="0" borderId="19" xfId="0" applyNumberFormat="1" applyFont="1" applyFill="1" applyBorder="1" applyAlignment="1">
      <alignment vertical="center"/>
    </xf>
    <xf numFmtId="176" fontId="7" fillId="0" borderId="25"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89" fontId="8" fillId="0" borderId="23" xfId="0" applyNumberFormat="1" applyFont="1" applyFill="1" applyBorder="1" applyAlignment="1">
      <alignment vertical="center" shrinkToFit="1"/>
    </xf>
    <xf numFmtId="189" fontId="7" fillId="0" borderId="73" xfId="0" applyNumberFormat="1" applyFont="1" applyFill="1" applyBorder="1" applyAlignment="1">
      <alignment vertical="center" shrinkToFit="1"/>
    </xf>
    <xf numFmtId="177" fontId="7" fillId="0" borderId="74" xfId="0" applyNumberFormat="1" applyFont="1" applyFill="1" applyBorder="1" applyAlignment="1">
      <alignment vertical="center" shrinkToFit="1"/>
    </xf>
    <xf numFmtId="176" fontId="7" fillId="0" borderId="75" xfId="0" applyNumberFormat="1" applyFont="1" applyFill="1" applyBorder="1" applyAlignment="1">
      <alignment horizontal="right" vertical="center" shrinkToFit="1"/>
    </xf>
    <xf numFmtId="176" fontId="7" fillId="0" borderId="73" xfId="0" applyNumberFormat="1" applyFont="1" applyFill="1" applyBorder="1" applyAlignment="1">
      <alignment horizontal="right" vertical="center" shrinkToFit="1"/>
    </xf>
    <xf numFmtId="176" fontId="8" fillId="0" borderId="76" xfId="0" applyNumberFormat="1" applyFont="1" applyFill="1" applyBorder="1" applyAlignment="1">
      <alignment horizontal="right" vertical="center"/>
    </xf>
    <xf numFmtId="0" fontId="7" fillId="0" borderId="0" xfId="0" applyFont="1" applyFill="1" applyAlignment="1">
      <alignment horizontal="center"/>
    </xf>
    <xf numFmtId="0" fontId="6" fillId="0" borderId="0" xfId="0" applyFont="1" applyFill="1" applyBorder="1" applyAlignment="1">
      <alignment/>
    </xf>
    <xf numFmtId="0" fontId="8" fillId="0" borderId="0" xfId="0" applyFont="1" applyFill="1" applyBorder="1" applyAlignment="1">
      <alignment horizontal="right"/>
    </xf>
    <xf numFmtId="57" fontId="8" fillId="0" borderId="77" xfId="0" applyNumberFormat="1" applyFont="1" applyFill="1" applyBorder="1" applyAlignment="1">
      <alignment vertical="center"/>
    </xf>
    <xf numFmtId="178" fontId="7" fillId="0" borderId="11" xfId="0" applyNumberFormat="1" applyFont="1" applyFill="1" applyBorder="1" applyAlignment="1">
      <alignment horizontal="center" vertical="center" shrinkToFit="1"/>
    </xf>
    <xf numFmtId="176" fontId="7" fillId="0" borderId="13" xfId="0" applyNumberFormat="1" applyFont="1" applyFill="1" applyBorder="1" applyAlignment="1">
      <alignment horizontal="center" vertical="center" shrinkToFit="1"/>
    </xf>
    <xf numFmtId="176" fontId="7" fillId="0" borderId="78" xfId="0" applyNumberFormat="1" applyFont="1" applyFill="1" applyBorder="1" applyAlignment="1">
      <alignment horizontal="center" vertical="center" shrinkToFit="1"/>
    </xf>
    <xf numFmtId="176" fontId="7" fillId="0" borderId="0" xfId="0" applyNumberFormat="1" applyFont="1" applyFill="1" applyAlignment="1">
      <alignment vertical="center"/>
    </xf>
    <xf numFmtId="176" fontId="7" fillId="0" borderId="38" xfId="0" applyNumberFormat="1" applyFont="1" applyFill="1" applyBorder="1" applyAlignment="1">
      <alignment horizontal="right" vertical="center"/>
    </xf>
    <xf numFmtId="177" fontId="8" fillId="0" borderId="14" xfId="0" applyNumberFormat="1" applyFont="1" applyFill="1" applyBorder="1" applyAlignment="1">
      <alignment vertical="center" shrinkToFit="1"/>
    </xf>
    <xf numFmtId="177" fontId="8" fillId="0" borderId="15" xfId="0" applyNumberFormat="1" applyFont="1" applyFill="1" applyBorder="1" applyAlignment="1">
      <alignment vertical="center" shrinkToFit="1"/>
    </xf>
    <xf numFmtId="177" fontId="7" fillId="0" borderId="11" xfId="0" applyNumberFormat="1" applyFont="1" applyFill="1" applyBorder="1" applyAlignment="1">
      <alignment vertical="center" shrinkToFit="1"/>
    </xf>
    <xf numFmtId="176" fontId="7" fillId="0" borderId="47" xfId="0" applyNumberFormat="1" applyFont="1" applyFill="1" applyBorder="1" applyAlignment="1">
      <alignment horizontal="right" vertical="center"/>
    </xf>
    <xf numFmtId="0" fontId="7" fillId="0" borderId="0" xfId="0" applyFont="1" applyFill="1" applyBorder="1" applyAlignment="1">
      <alignment vertical="center" wrapText="1"/>
    </xf>
    <xf numFmtId="176" fontId="1" fillId="0" borderId="0" xfId="0" applyNumberFormat="1" applyFont="1" applyFill="1" applyAlignment="1">
      <alignment vertical="center"/>
    </xf>
    <xf numFmtId="189" fontId="8" fillId="0" borderId="34" xfId="0" applyNumberFormat="1" applyFont="1" applyFill="1" applyBorder="1" applyAlignment="1">
      <alignment vertical="center"/>
    </xf>
    <xf numFmtId="177" fontId="8" fillId="0" borderId="46" xfId="0" applyNumberFormat="1" applyFont="1" applyFill="1" applyBorder="1" applyAlignment="1">
      <alignment vertical="center"/>
    </xf>
    <xf numFmtId="192" fontId="8" fillId="0" borderId="20" xfId="0" applyNumberFormat="1" applyFont="1" applyFill="1" applyBorder="1" applyAlignment="1">
      <alignment vertical="center"/>
    </xf>
    <xf numFmtId="192" fontId="8" fillId="0" borderId="14" xfId="0" applyNumberFormat="1" applyFont="1" applyFill="1" applyBorder="1" applyAlignment="1">
      <alignment vertical="center"/>
    </xf>
    <xf numFmtId="192" fontId="8" fillId="0" borderId="45" xfId="0" applyNumberFormat="1" applyFont="1" applyFill="1" applyBorder="1" applyAlignment="1">
      <alignment vertical="center"/>
    </xf>
    <xf numFmtId="192" fontId="8" fillId="0" borderId="46" xfId="0" applyNumberFormat="1" applyFont="1" applyFill="1" applyBorder="1" applyAlignment="1">
      <alignment vertical="center"/>
    </xf>
    <xf numFmtId="192" fontId="8" fillId="0" borderId="19" xfId="0" applyNumberFormat="1" applyFont="1" applyFill="1" applyBorder="1" applyAlignment="1">
      <alignment vertical="center"/>
    </xf>
    <xf numFmtId="177" fontId="7" fillId="0" borderId="23" xfId="0" applyNumberFormat="1" applyFont="1" applyFill="1" applyBorder="1" applyAlignment="1">
      <alignment vertical="center"/>
    </xf>
    <xf numFmtId="176" fontId="7" fillId="0" borderId="0" xfId="0" applyNumberFormat="1" applyFont="1" applyFill="1" applyBorder="1" applyAlignment="1">
      <alignment horizontal="center" vertical="center" shrinkToFit="1"/>
    </xf>
    <xf numFmtId="0" fontId="7" fillId="0" borderId="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7" fontId="8" fillId="0" borderId="79" xfId="0" applyNumberFormat="1" applyFont="1" applyFill="1" applyBorder="1" applyAlignment="1">
      <alignment vertical="center"/>
    </xf>
    <xf numFmtId="0" fontId="7" fillId="0" borderId="79" xfId="0" applyFont="1" applyFill="1" applyBorder="1" applyAlignment="1">
      <alignment horizontal="distributed" vertical="center"/>
    </xf>
    <xf numFmtId="176" fontId="7" fillId="0" borderId="79" xfId="0" applyNumberFormat="1" applyFont="1" applyFill="1" applyBorder="1" applyAlignment="1">
      <alignment horizontal="center" vertical="center" shrinkToFit="1"/>
    </xf>
    <xf numFmtId="0" fontId="10" fillId="0" borderId="38" xfId="0" applyFont="1" applyFill="1" applyBorder="1" applyAlignment="1">
      <alignment horizontal="center" vertical="center"/>
    </xf>
    <xf numFmtId="176" fontId="7" fillId="0" borderId="38" xfId="0" applyNumberFormat="1" applyFont="1" applyFill="1" applyBorder="1" applyAlignment="1">
      <alignment horizontal="center" vertical="center" shrinkToFit="1"/>
    </xf>
    <xf numFmtId="177" fontId="8" fillId="0" borderId="38" xfId="0" applyNumberFormat="1" applyFont="1" applyFill="1" applyBorder="1" applyAlignment="1">
      <alignment vertical="center"/>
    </xf>
    <xf numFmtId="176" fontId="8" fillId="0" borderId="79" xfId="0" applyNumberFormat="1" applyFont="1" applyFill="1" applyBorder="1" applyAlignment="1">
      <alignment horizontal="right" vertical="center"/>
    </xf>
    <xf numFmtId="177" fontId="8" fillId="0" borderId="79" xfId="0" applyNumberFormat="1" applyFont="1" applyFill="1" applyBorder="1" applyAlignment="1">
      <alignment vertical="center" shrinkToFit="1"/>
    </xf>
    <xf numFmtId="177" fontId="7" fillId="0" borderId="79" xfId="0" applyNumberFormat="1" applyFont="1" applyFill="1" applyBorder="1" applyAlignment="1">
      <alignment vertical="center" shrinkToFit="1"/>
    </xf>
    <xf numFmtId="176" fontId="7" fillId="0" borderId="79" xfId="0" applyNumberFormat="1" applyFont="1" applyFill="1" applyBorder="1" applyAlignment="1">
      <alignment horizontal="right" vertical="center"/>
    </xf>
    <xf numFmtId="0" fontId="7" fillId="0" borderId="38" xfId="0" applyFont="1" applyFill="1" applyBorder="1" applyAlignment="1">
      <alignment horizontal="distributed" vertical="center"/>
    </xf>
    <xf numFmtId="177" fontId="8" fillId="0" borderId="38" xfId="0" applyNumberFormat="1" applyFont="1" applyFill="1" applyBorder="1" applyAlignment="1">
      <alignment vertical="center" shrinkToFit="1"/>
    </xf>
    <xf numFmtId="177" fontId="7" fillId="0" borderId="38" xfId="0" applyNumberFormat="1" applyFont="1" applyFill="1" applyBorder="1" applyAlignment="1">
      <alignment vertical="center" shrinkToFit="1"/>
    </xf>
    <xf numFmtId="189" fontId="8" fillId="0" borderId="50" xfId="0" applyNumberFormat="1" applyFont="1" applyFill="1" applyBorder="1" applyAlignment="1">
      <alignment vertical="center"/>
    </xf>
    <xf numFmtId="176" fontId="7" fillId="0" borderId="67" xfId="0" applyNumberFormat="1" applyFont="1" applyFill="1" applyBorder="1" applyAlignment="1">
      <alignment vertical="center"/>
    </xf>
    <xf numFmtId="189" fontId="7" fillId="0" borderId="80" xfId="0" applyNumberFormat="1" applyFont="1" applyFill="1" applyBorder="1" applyAlignment="1">
      <alignment vertical="center"/>
    </xf>
    <xf numFmtId="177" fontId="8" fillId="0" borderId="81" xfId="0" applyNumberFormat="1" applyFont="1" applyFill="1" applyBorder="1" applyAlignment="1">
      <alignment vertical="center"/>
    </xf>
    <xf numFmtId="176" fontId="8" fillId="0" borderId="82" xfId="0" applyNumberFormat="1" applyFont="1" applyFill="1" applyBorder="1" applyAlignment="1">
      <alignment horizontal="right" vertical="center"/>
    </xf>
    <xf numFmtId="176" fontId="8" fillId="0" borderId="83" xfId="0" applyNumberFormat="1" applyFont="1" applyFill="1" applyBorder="1" applyAlignment="1">
      <alignment horizontal="right" vertical="center"/>
    </xf>
    <xf numFmtId="189" fontId="8" fillId="0" borderId="84" xfId="0" applyNumberFormat="1" applyFont="1" applyFill="1" applyBorder="1" applyAlignment="1">
      <alignment vertical="center" shrinkToFit="1"/>
    </xf>
    <xf numFmtId="177" fontId="8" fillId="0" borderId="83" xfId="0" applyNumberFormat="1" applyFont="1" applyFill="1" applyBorder="1" applyAlignment="1">
      <alignment vertical="center"/>
    </xf>
    <xf numFmtId="177" fontId="8" fillId="0" borderId="85" xfId="0" applyNumberFormat="1" applyFont="1" applyFill="1" applyBorder="1" applyAlignment="1">
      <alignment vertical="center"/>
    </xf>
    <xf numFmtId="176" fontId="8" fillId="0" borderId="48" xfId="0" applyNumberFormat="1" applyFont="1" applyFill="1" applyBorder="1" applyAlignment="1">
      <alignment horizontal="right" vertical="center"/>
    </xf>
    <xf numFmtId="176" fontId="8" fillId="0" borderId="78" xfId="0" applyNumberFormat="1" applyFont="1" applyFill="1" applyBorder="1" applyAlignment="1">
      <alignment horizontal="right" vertical="center"/>
    </xf>
    <xf numFmtId="177" fontId="8" fillId="0" borderId="18" xfId="0" applyNumberFormat="1" applyFont="1" applyFill="1" applyBorder="1" applyAlignment="1">
      <alignment vertical="center" shrinkToFit="1"/>
    </xf>
    <xf numFmtId="177" fontId="7" fillId="0" borderId="84" xfId="0" applyNumberFormat="1" applyFont="1" applyFill="1" applyBorder="1" applyAlignment="1">
      <alignment vertical="center"/>
    </xf>
    <xf numFmtId="177" fontId="7" fillId="0" borderId="83" xfId="0" applyNumberFormat="1" applyFont="1" applyFill="1" applyBorder="1" applyAlignment="1">
      <alignment horizontal="right" vertical="center"/>
    </xf>
    <xf numFmtId="176" fontId="8" fillId="0" borderId="81" xfId="0" applyNumberFormat="1" applyFont="1" applyFill="1" applyBorder="1" applyAlignment="1">
      <alignment horizontal="right" vertical="center"/>
    </xf>
    <xf numFmtId="177" fontId="7" fillId="0" borderId="13" xfId="0" applyNumberFormat="1" applyFont="1" applyFill="1" applyBorder="1" applyAlignment="1">
      <alignment vertical="center" shrinkToFit="1"/>
    </xf>
    <xf numFmtId="176" fontId="7" fillId="0" borderId="48" xfId="0" applyNumberFormat="1" applyFont="1" applyFill="1" applyBorder="1" applyAlignment="1">
      <alignment horizontal="right" vertical="center"/>
    </xf>
    <xf numFmtId="176" fontId="6" fillId="0" borderId="0" xfId="0" applyNumberFormat="1" applyFont="1" applyFill="1" applyBorder="1" applyAlignment="1">
      <alignment horizontal="center"/>
    </xf>
    <xf numFmtId="176" fontId="7" fillId="0" borderId="10" xfId="0" applyNumberFormat="1" applyFont="1" applyFill="1" applyBorder="1" applyAlignment="1">
      <alignment horizontal="right" vertical="center"/>
    </xf>
    <xf numFmtId="176" fontId="8" fillId="0" borderId="86" xfId="0" applyNumberFormat="1" applyFont="1" applyFill="1" applyBorder="1" applyAlignment="1">
      <alignment vertical="center"/>
    </xf>
    <xf numFmtId="176" fontId="8" fillId="0" borderId="87" xfId="0" applyNumberFormat="1" applyFont="1" applyFill="1" applyBorder="1" applyAlignment="1">
      <alignment vertical="center"/>
    </xf>
    <xf numFmtId="192" fontId="8" fillId="0" borderId="20" xfId="0" applyNumberFormat="1" applyFont="1" applyFill="1" applyBorder="1" applyAlignment="1">
      <alignment horizontal="right" vertical="center" shrinkToFit="1"/>
    </xf>
    <xf numFmtId="176" fontId="7" fillId="0" borderId="12" xfId="0" applyNumberFormat="1" applyFont="1" applyFill="1" applyBorder="1" applyAlignment="1">
      <alignment vertical="center"/>
    </xf>
    <xf numFmtId="176" fontId="7" fillId="0" borderId="37"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19" xfId="0" applyNumberFormat="1" applyFont="1" applyFill="1" applyBorder="1" applyAlignment="1">
      <alignment vertical="center"/>
    </xf>
    <xf numFmtId="177" fontId="7" fillId="0" borderId="17" xfId="0" applyNumberFormat="1" applyFont="1" applyFill="1" applyBorder="1" applyAlignment="1">
      <alignment vertical="center"/>
    </xf>
    <xf numFmtId="176" fontId="7" fillId="0" borderId="88" xfId="0" applyNumberFormat="1" applyFont="1" applyFill="1" applyBorder="1" applyAlignment="1">
      <alignment vertical="center"/>
    </xf>
    <xf numFmtId="176" fontId="8" fillId="0" borderId="51" xfId="0" applyNumberFormat="1" applyFont="1" applyFill="1" applyBorder="1" applyAlignment="1">
      <alignment vertical="center"/>
    </xf>
    <xf numFmtId="176" fontId="7" fillId="0" borderId="36" xfId="0" applyNumberFormat="1" applyFont="1" applyFill="1" applyBorder="1" applyAlignment="1">
      <alignment vertical="center"/>
    </xf>
    <xf numFmtId="176" fontId="7" fillId="0" borderId="14" xfId="0" applyNumberFormat="1" applyFont="1" applyFill="1" applyBorder="1" applyAlignment="1">
      <alignment vertical="center"/>
    </xf>
    <xf numFmtId="199" fontId="7" fillId="0" borderId="0" xfId="0" applyNumberFormat="1" applyFont="1" applyFill="1" applyBorder="1" applyAlignment="1">
      <alignment horizontal="right" vertical="center"/>
    </xf>
    <xf numFmtId="192" fontId="7" fillId="0" borderId="69" xfId="0" applyNumberFormat="1" applyFont="1" applyFill="1" applyBorder="1" applyAlignment="1">
      <alignment vertical="center"/>
    </xf>
    <xf numFmtId="192" fontId="7" fillId="0" borderId="23" xfId="0" applyNumberFormat="1" applyFont="1" applyFill="1" applyBorder="1" applyAlignment="1">
      <alignment vertical="center"/>
    </xf>
    <xf numFmtId="187" fontId="7" fillId="0" borderId="20" xfId="0" applyNumberFormat="1" applyFont="1" applyFill="1" applyBorder="1" applyAlignment="1">
      <alignment vertical="center"/>
    </xf>
    <xf numFmtId="187" fontId="7" fillId="0" borderId="14" xfId="0" applyNumberFormat="1" applyFont="1" applyFill="1" applyBorder="1" applyAlignment="1">
      <alignment vertical="center"/>
    </xf>
    <xf numFmtId="192" fontId="8" fillId="0" borderId="51" xfId="0" applyNumberFormat="1" applyFont="1" applyFill="1" applyBorder="1" applyAlignment="1">
      <alignment vertical="center"/>
    </xf>
    <xf numFmtId="192" fontId="8" fillId="0" borderId="52" xfId="0" applyNumberFormat="1" applyFont="1" applyFill="1" applyBorder="1" applyAlignment="1">
      <alignment vertical="center"/>
    </xf>
    <xf numFmtId="176" fontId="7" fillId="0" borderId="33" xfId="0" applyNumberFormat="1" applyFont="1" applyFill="1" applyBorder="1" applyAlignment="1">
      <alignment vertical="center"/>
    </xf>
    <xf numFmtId="178" fontId="7" fillId="0" borderId="82" xfId="0" applyNumberFormat="1" applyFont="1" applyFill="1" applyBorder="1" applyAlignment="1">
      <alignment vertical="center"/>
    </xf>
    <xf numFmtId="178" fontId="7" fillId="0" borderId="84" xfId="0" applyNumberFormat="1" applyFont="1" applyFill="1" applyBorder="1" applyAlignment="1">
      <alignment vertical="center"/>
    </xf>
    <xf numFmtId="176" fontId="7" fillId="0" borderId="75" xfId="0" applyNumberFormat="1" applyFont="1" applyFill="1" applyBorder="1" applyAlignment="1">
      <alignment vertical="center" shrinkToFit="1"/>
    </xf>
    <xf numFmtId="176" fontId="7" fillId="0" borderId="73" xfId="0" applyNumberFormat="1" applyFont="1" applyFill="1" applyBorder="1" applyAlignment="1">
      <alignment vertical="center" shrinkToFit="1"/>
    </xf>
    <xf numFmtId="176" fontId="11" fillId="0" borderId="38" xfId="0" applyNumberFormat="1" applyFont="1" applyFill="1" applyBorder="1" applyAlignment="1">
      <alignment horizontal="distributed" vertical="center"/>
    </xf>
    <xf numFmtId="176" fontId="7" fillId="0" borderId="10" xfId="0" applyNumberFormat="1" applyFont="1" applyFill="1" applyBorder="1" applyAlignment="1">
      <alignment vertical="center"/>
    </xf>
    <xf numFmtId="176" fontId="7" fillId="0" borderId="89"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91" xfId="0" applyNumberFormat="1" applyFont="1" applyFill="1" applyBorder="1" applyAlignment="1">
      <alignment vertical="center"/>
    </xf>
    <xf numFmtId="176" fontId="7" fillId="0" borderId="92" xfId="0" applyNumberFormat="1" applyFont="1" applyFill="1" applyBorder="1" applyAlignment="1">
      <alignment vertical="center"/>
    </xf>
    <xf numFmtId="176" fontId="7" fillId="0" borderId="93" xfId="0" applyNumberFormat="1" applyFont="1" applyFill="1" applyBorder="1" applyAlignment="1">
      <alignment vertical="center"/>
    </xf>
    <xf numFmtId="176" fontId="7" fillId="0" borderId="70"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91" xfId="0" applyNumberFormat="1" applyFont="1" applyFill="1" applyBorder="1" applyAlignment="1">
      <alignment vertical="center" shrinkToFit="1"/>
    </xf>
    <xf numFmtId="176" fontId="8" fillId="0" borderId="12" xfId="0" applyNumberFormat="1" applyFont="1" applyFill="1" applyBorder="1" applyAlignment="1">
      <alignment horizontal="right" vertical="center"/>
    </xf>
    <xf numFmtId="176" fontId="7" fillId="0" borderId="95" xfId="0" applyNumberFormat="1" applyFont="1" applyFill="1" applyBorder="1" applyAlignment="1">
      <alignment vertical="center"/>
    </xf>
    <xf numFmtId="176" fontId="8" fillId="0" borderId="89" xfId="0" applyNumberFormat="1" applyFont="1" applyFill="1" applyBorder="1" applyAlignment="1">
      <alignment vertical="center"/>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xf>
    <xf numFmtId="176" fontId="8" fillId="0" borderId="70" xfId="0" applyNumberFormat="1" applyFont="1" applyFill="1" applyBorder="1" applyAlignment="1">
      <alignment vertical="center"/>
    </xf>
    <xf numFmtId="176" fontId="8" fillId="0" borderId="71" xfId="0" applyNumberFormat="1" applyFont="1" applyFill="1" applyBorder="1" applyAlignment="1">
      <alignment vertical="center"/>
    </xf>
    <xf numFmtId="176" fontId="8" fillId="0" borderId="71" xfId="0" applyNumberFormat="1" applyFont="1" applyFill="1" applyBorder="1" applyAlignment="1">
      <alignment vertical="center"/>
    </xf>
    <xf numFmtId="176" fontId="8" fillId="0" borderId="72" xfId="0" applyNumberFormat="1" applyFont="1" applyFill="1" applyBorder="1" applyAlignment="1">
      <alignment vertical="center" shrinkToFit="1"/>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shrinkToFit="1"/>
    </xf>
    <xf numFmtId="176" fontId="8" fillId="0" borderId="96" xfId="0" applyNumberFormat="1" applyFont="1" applyFill="1" applyBorder="1" applyAlignment="1">
      <alignment vertical="center"/>
    </xf>
    <xf numFmtId="176" fontId="8" fillId="0" borderId="97" xfId="0" applyNumberFormat="1" applyFont="1" applyFill="1" applyBorder="1" applyAlignment="1">
      <alignment vertical="center"/>
    </xf>
    <xf numFmtId="176" fontId="8" fillId="0" borderId="97" xfId="0" applyNumberFormat="1" applyFont="1" applyFill="1" applyBorder="1" applyAlignment="1">
      <alignment vertical="center"/>
    </xf>
    <xf numFmtId="176" fontId="8" fillId="0" borderId="98" xfId="0" applyNumberFormat="1" applyFont="1" applyFill="1" applyBorder="1" applyAlignment="1">
      <alignment vertical="center" shrinkToFit="1"/>
    </xf>
    <xf numFmtId="176" fontId="8" fillId="0" borderId="72" xfId="0" applyNumberFormat="1" applyFont="1" applyFill="1" applyBorder="1" applyAlignment="1">
      <alignment horizontal="distributed" vertical="center" shrinkToFit="1"/>
    </xf>
    <xf numFmtId="0" fontId="7" fillId="0" borderId="99" xfId="0" applyFont="1" applyFill="1" applyBorder="1" applyAlignment="1">
      <alignment vertical="center"/>
    </xf>
    <xf numFmtId="0" fontId="7" fillId="0" borderId="100" xfId="0" applyFont="1" applyFill="1" applyBorder="1" applyAlignment="1">
      <alignment vertical="center"/>
    </xf>
    <xf numFmtId="176" fontId="7" fillId="0" borderId="68" xfId="0" applyNumberFormat="1" applyFont="1" applyFill="1" applyBorder="1" applyAlignment="1">
      <alignment vertical="center"/>
    </xf>
    <xf numFmtId="176" fontId="7" fillId="0" borderId="53" xfId="0" applyNumberFormat="1" applyFont="1" applyFill="1" applyBorder="1" applyAlignment="1">
      <alignment vertical="center"/>
    </xf>
    <xf numFmtId="0" fontId="8" fillId="0" borderId="38" xfId="0" applyFont="1" applyFill="1" applyBorder="1" applyAlignment="1">
      <alignment horizontal="right" vertical="center"/>
    </xf>
    <xf numFmtId="176" fontId="8" fillId="0" borderId="92" xfId="0" applyNumberFormat="1" applyFont="1" applyFill="1" applyBorder="1" applyAlignment="1">
      <alignment vertical="center"/>
    </xf>
    <xf numFmtId="176" fontId="8" fillId="0" borderId="94" xfId="0" applyNumberFormat="1" applyFont="1" applyFill="1" applyBorder="1" applyAlignment="1">
      <alignment vertical="center"/>
    </xf>
    <xf numFmtId="176" fontId="8" fillId="0" borderId="101" xfId="0" applyNumberFormat="1" applyFont="1" applyFill="1" applyBorder="1" applyAlignment="1">
      <alignment vertical="center"/>
    </xf>
    <xf numFmtId="176" fontId="8" fillId="0" borderId="99" xfId="0" applyNumberFormat="1" applyFont="1" applyFill="1" applyBorder="1" applyAlignment="1">
      <alignment vertical="center"/>
    </xf>
    <xf numFmtId="176" fontId="8" fillId="0" borderId="99" xfId="0" applyNumberFormat="1" applyFont="1" applyFill="1" applyBorder="1" applyAlignment="1">
      <alignment vertical="center"/>
    </xf>
    <xf numFmtId="176" fontId="8" fillId="0" borderId="100" xfId="0" applyNumberFormat="1" applyFont="1" applyFill="1" applyBorder="1" applyAlignment="1">
      <alignment vertical="center" shrinkToFit="1"/>
    </xf>
    <xf numFmtId="176" fontId="8" fillId="0" borderId="102" xfId="0" applyNumberFormat="1" applyFont="1" applyFill="1" applyBorder="1" applyAlignment="1">
      <alignment vertical="center"/>
    </xf>
    <xf numFmtId="176" fontId="7" fillId="0" borderId="103" xfId="0" applyNumberFormat="1" applyFont="1" applyFill="1" applyBorder="1" applyAlignment="1">
      <alignment vertical="center"/>
    </xf>
    <xf numFmtId="176" fontId="7" fillId="0" borderId="104" xfId="0" applyNumberFormat="1" applyFont="1" applyFill="1" applyBorder="1" applyAlignment="1">
      <alignment vertical="center"/>
    </xf>
    <xf numFmtId="176" fontId="8" fillId="0" borderId="105" xfId="0" applyNumberFormat="1" applyFont="1" applyFill="1" applyBorder="1" applyAlignment="1">
      <alignment vertical="center"/>
    </xf>
    <xf numFmtId="176" fontId="8" fillId="0" borderId="106" xfId="0" applyNumberFormat="1" applyFont="1" applyFill="1" applyBorder="1" applyAlignment="1">
      <alignment vertical="center"/>
    </xf>
    <xf numFmtId="176" fontId="8" fillId="0" borderId="106" xfId="0" applyNumberFormat="1" applyFont="1" applyFill="1" applyBorder="1" applyAlignment="1">
      <alignment vertical="center"/>
    </xf>
    <xf numFmtId="176" fontId="8" fillId="0" borderId="107"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8" fillId="0" borderId="72" xfId="0" applyNumberFormat="1" applyFont="1" applyFill="1" applyBorder="1" applyAlignment="1">
      <alignment vertical="center"/>
    </xf>
    <xf numFmtId="0" fontId="8" fillId="0" borderId="68" xfId="0" applyFont="1" applyFill="1" applyBorder="1" applyAlignment="1">
      <alignment horizontal="right" vertical="center"/>
    </xf>
    <xf numFmtId="176" fontId="7" fillId="0" borderId="71"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98" xfId="0" applyNumberFormat="1" applyFont="1" applyFill="1" applyBorder="1" applyAlignment="1">
      <alignment vertical="center"/>
    </xf>
    <xf numFmtId="176" fontId="7" fillId="0" borderId="79" xfId="0" applyNumberFormat="1" applyFont="1" applyFill="1" applyBorder="1" applyAlignment="1">
      <alignment vertical="center"/>
    </xf>
    <xf numFmtId="176" fontId="7" fillId="0" borderId="22" xfId="0" applyNumberFormat="1" applyFont="1" applyFill="1" applyBorder="1" applyAlignment="1">
      <alignment horizontal="distributed"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7" fillId="0" borderId="51" xfId="0" applyNumberFormat="1" applyFont="1" applyFill="1" applyBorder="1" applyAlignment="1">
      <alignment vertical="top"/>
    </xf>
    <xf numFmtId="176" fontId="7" fillId="0" borderId="102" xfId="0" applyNumberFormat="1" applyFont="1" applyFill="1" applyBorder="1" applyAlignment="1">
      <alignment vertical="center"/>
    </xf>
    <xf numFmtId="176" fontId="8" fillId="0" borderId="70" xfId="0" applyNumberFormat="1" applyFont="1" applyFill="1" applyBorder="1" applyAlignment="1">
      <alignment horizontal="left" vertical="center"/>
    </xf>
    <xf numFmtId="176" fontId="8" fillId="0" borderId="93"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176" fontId="7" fillId="0" borderId="98" xfId="0" applyNumberFormat="1" applyFont="1" applyFill="1" applyBorder="1" applyAlignment="1">
      <alignment horizontal="left" vertical="center"/>
    </xf>
    <xf numFmtId="176" fontId="7" fillId="0" borderId="47" xfId="0" applyNumberFormat="1" applyFont="1" applyFill="1" applyBorder="1" applyAlignment="1">
      <alignment vertical="center"/>
    </xf>
    <xf numFmtId="176" fontId="8" fillId="0" borderId="99" xfId="0" applyNumberFormat="1" applyFont="1" applyFill="1" applyBorder="1" applyAlignment="1">
      <alignment horizontal="left" vertical="center"/>
    </xf>
    <xf numFmtId="176" fontId="7" fillId="0" borderId="108" xfId="0" applyNumberFormat="1" applyFont="1" applyFill="1" applyBorder="1" applyAlignment="1">
      <alignmen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176" fontId="7" fillId="0" borderId="25" xfId="0" applyNumberFormat="1" applyFont="1" applyFill="1" applyBorder="1" applyAlignment="1">
      <alignment horizontal="distributed" vertical="center"/>
    </xf>
    <xf numFmtId="176" fontId="7" fillId="0" borderId="38" xfId="0" applyNumberFormat="1" applyFont="1" applyFill="1" applyBorder="1" applyAlignment="1">
      <alignment horizontal="distributed" vertical="center"/>
    </xf>
    <xf numFmtId="0" fontId="7" fillId="0" borderId="71" xfId="0" applyFont="1" applyFill="1" applyBorder="1" applyAlignment="1">
      <alignment horizontal="left" vertical="center"/>
    </xf>
    <xf numFmtId="0" fontId="8" fillId="0" borderId="103" xfId="0" applyFont="1" applyFill="1" applyBorder="1" applyAlignment="1">
      <alignment horizontal="right" vertical="center"/>
    </xf>
    <xf numFmtId="176" fontId="7" fillId="0" borderId="83" xfId="0" applyNumberFormat="1" applyFont="1" applyFill="1" applyBorder="1" applyAlignment="1">
      <alignment vertical="center"/>
    </xf>
    <xf numFmtId="0" fontId="7" fillId="0" borderId="10" xfId="0" applyFont="1" applyFill="1" applyBorder="1" applyAlignment="1">
      <alignment vertical="center"/>
    </xf>
    <xf numFmtId="176" fontId="7" fillId="0" borderId="51" xfId="0" applyNumberFormat="1" applyFont="1" applyFill="1" applyBorder="1" applyAlignment="1">
      <alignment vertical="center"/>
    </xf>
    <xf numFmtId="176" fontId="7" fillId="0" borderId="110" xfId="0" applyNumberFormat="1" applyFont="1" applyFill="1" applyBorder="1" applyAlignment="1">
      <alignment vertical="center"/>
    </xf>
    <xf numFmtId="176" fontId="8" fillId="0" borderId="96"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79" xfId="0" applyNumberFormat="1" applyFont="1" applyFill="1" applyBorder="1" applyAlignment="1">
      <alignment horizontal="left" vertical="center"/>
    </xf>
    <xf numFmtId="0" fontId="8" fillId="0" borderId="38" xfId="0" applyFont="1" applyFill="1" applyBorder="1" applyAlignment="1">
      <alignment horizontal="right" vertical="top"/>
    </xf>
    <xf numFmtId="176" fontId="8" fillId="0" borderId="38" xfId="0" applyNumberFormat="1" applyFont="1" applyFill="1" applyBorder="1" applyAlignment="1">
      <alignment horizontal="right" vertical="top"/>
    </xf>
    <xf numFmtId="187" fontId="7" fillId="0" borderId="36" xfId="0" applyNumberFormat="1" applyFont="1" applyFill="1" applyBorder="1" applyAlignment="1">
      <alignment horizontal="right" vertical="center"/>
    </xf>
    <xf numFmtId="192" fontId="8" fillId="0" borderId="68" xfId="0" applyNumberFormat="1" applyFont="1" applyFill="1" applyBorder="1" applyAlignment="1">
      <alignment horizontal="right" vertical="center"/>
    </xf>
    <xf numFmtId="192" fontId="8" fillId="0" borderId="36" xfId="0" applyNumberFormat="1" applyFont="1" applyFill="1" applyBorder="1" applyAlignment="1">
      <alignment vertical="center"/>
    </xf>
    <xf numFmtId="187" fontId="7" fillId="0" borderId="14" xfId="0" applyNumberFormat="1" applyFont="1" applyFill="1" applyBorder="1" applyAlignment="1">
      <alignment horizontal="right" vertical="center"/>
    </xf>
    <xf numFmtId="192" fontId="8" fillId="0" borderId="52" xfId="0" applyNumberFormat="1" applyFont="1" applyFill="1" applyBorder="1" applyAlignment="1">
      <alignment horizontal="right" vertical="center"/>
    </xf>
    <xf numFmtId="192" fontId="8" fillId="0" borderId="14" xfId="0" applyNumberFormat="1" applyFont="1" applyFill="1" applyBorder="1" applyAlignment="1">
      <alignment horizontal="right" vertical="center"/>
    </xf>
    <xf numFmtId="192" fontId="7" fillId="0" borderId="67" xfId="0" applyNumberFormat="1" applyFont="1" applyFill="1" applyBorder="1" applyAlignment="1">
      <alignment horizontal="right" vertical="center" shrinkToFit="1"/>
    </xf>
    <xf numFmtId="202" fontId="7" fillId="0" borderId="0" xfId="0" applyNumberFormat="1" applyFont="1" applyFill="1" applyBorder="1" applyAlignment="1">
      <alignment horizontal="right" vertical="center"/>
    </xf>
    <xf numFmtId="202" fontId="7" fillId="0" borderId="37" xfId="0" applyNumberFormat="1" applyFont="1" applyFill="1" applyBorder="1" applyAlignment="1">
      <alignment horizontal="right" vertical="center"/>
    </xf>
    <xf numFmtId="201" fontId="7" fillId="0" borderId="38" xfId="0" applyNumberFormat="1" applyFont="1" applyFill="1" applyBorder="1" applyAlignment="1">
      <alignment horizontal="right" vertical="center"/>
    </xf>
    <xf numFmtId="176" fontId="8" fillId="0" borderId="111" xfId="0" applyNumberFormat="1" applyFont="1" applyFill="1" applyBorder="1" applyAlignment="1">
      <alignment vertical="center"/>
    </xf>
    <xf numFmtId="192" fontId="7" fillId="0" borderId="0" xfId="0" applyNumberFormat="1" applyFont="1" applyFill="1" applyBorder="1" applyAlignment="1">
      <alignment horizontal="right" vertical="center" shrinkToFit="1"/>
    </xf>
    <xf numFmtId="0" fontId="8" fillId="0" borderId="77" xfId="0" applyFont="1" applyFill="1" applyBorder="1" applyAlignment="1">
      <alignment horizontal="right"/>
    </xf>
    <xf numFmtId="192" fontId="8" fillId="0" borderId="14" xfId="0" applyNumberFormat="1" applyFont="1" applyFill="1" applyBorder="1" applyAlignment="1">
      <alignment horizontal="right" vertical="center" shrinkToFit="1"/>
    </xf>
    <xf numFmtId="192" fontId="8" fillId="0" borderId="14" xfId="61" applyNumberFormat="1" applyFont="1" applyFill="1" applyBorder="1" applyAlignment="1">
      <alignment horizontal="right" vertical="center" shrinkToFit="1"/>
      <protection/>
    </xf>
    <xf numFmtId="178" fontId="7" fillId="0" borderId="112" xfId="0" applyNumberFormat="1" applyFont="1" applyFill="1" applyBorder="1" applyAlignment="1">
      <alignment vertical="center"/>
    </xf>
    <xf numFmtId="199" fontId="7" fillId="0" borderId="46" xfId="0" applyNumberFormat="1" applyFont="1" applyFill="1" applyBorder="1" applyAlignment="1">
      <alignment horizontal="right" vertical="center"/>
    </xf>
    <xf numFmtId="201" fontId="7" fillId="0" borderId="37" xfId="0" applyNumberFormat="1" applyFont="1" applyFill="1" applyBorder="1" applyAlignment="1">
      <alignment horizontal="right" vertical="center"/>
    </xf>
    <xf numFmtId="176" fontId="7" fillId="0" borderId="89"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91" xfId="0" applyNumberFormat="1" applyFont="1" applyFill="1" applyBorder="1" applyAlignment="1">
      <alignment vertical="center"/>
    </xf>
    <xf numFmtId="176" fontId="7" fillId="0" borderId="97" xfId="0" applyNumberFormat="1" applyFont="1" applyFill="1" applyBorder="1" applyAlignment="1">
      <alignment horizontal="center" vertical="center"/>
    </xf>
    <xf numFmtId="176" fontId="7" fillId="0" borderId="98" xfId="0" applyNumberFormat="1" applyFont="1" applyFill="1" applyBorder="1" applyAlignment="1">
      <alignment horizontal="center" vertical="center"/>
    </xf>
    <xf numFmtId="193" fontId="7" fillId="0" borderId="70" xfId="0" applyNumberFormat="1" applyFont="1" applyFill="1" applyBorder="1" applyAlignment="1">
      <alignment vertical="center"/>
    </xf>
    <xf numFmtId="0" fontId="7" fillId="0" borderId="71" xfId="0" applyFont="1" applyFill="1" applyBorder="1" applyAlignment="1">
      <alignment vertical="center"/>
    </xf>
    <xf numFmtId="193" fontId="7" fillId="0" borderId="70" xfId="0" applyNumberFormat="1" applyFont="1" applyFill="1" applyBorder="1" applyAlignment="1">
      <alignment vertical="center" shrinkToFit="1"/>
    </xf>
    <xf numFmtId="0" fontId="0" fillId="0" borderId="71" xfId="0" applyFill="1" applyBorder="1" applyAlignment="1">
      <alignment vertical="center" shrinkToFit="1"/>
    </xf>
    <xf numFmtId="0" fontId="0" fillId="0" borderId="71" xfId="0" applyFill="1" applyBorder="1" applyAlignment="1">
      <alignment vertical="center"/>
    </xf>
    <xf numFmtId="176" fontId="7" fillId="0" borderId="22" xfId="0" applyNumberFormat="1" applyFont="1" applyFill="1" applyBorder="1" applyAlignment="1">
      <alignment vertical="top" wrapText="1"/>
    </xf>
    <xf numFmtId="176" fontId="7" fillId="0" borderId="38" xfId="0" applyNumberFormat="1" applyFont="1" applyFill="1" applyBorder="1" applyAlignment="1">
      <alignment vertical="top" wrapText="1"/>
    </xf>
    <xf numFmtId="176" fontId="7" fillId="0" borderId="24" xfId="0" applyNumberFormat="1" applyFont="1" applyFill="1" applyBorder="1" applyAlignment="1">
      <alignment horizontal="center" vertical="center"/>
    </xf>
    <xf numFmtId="176" fontId="7" fillId="0" borderId="113" xfId="0" applyNumberFormat="1" applyFont="1" applyFill="1" applyBorder="1" applyAlignment="1">
      <alignment horizontal="center" vertical="center"/>
    </xf>
    <xf numFmtId="0" fontId="7" fillId="0" borderId="113" xfId="0" applyFont="1" applyFill="1" applyBorder="1" applyAlignment="1">
      <alignment horizontal="center" vertical="center"/>
    </xf>
    <xf numFmtId="0" fontId="7" fillId="0" borderId="113" xfId="0" applyFont="1" applyFill="1" applyBorder="1" applyAlignment="1">
      <alignment vertical="center"/>
    </xf>
    <xf numFmtId="0" fontId="7" fillId="0" borderId="114" xfId="0" applyFont="1" applyFill="1" applyBorder="1" applyAlignment="1">
      <alignment vertical="center"/>
    </xf>
    <xf numFmtId="176" fontId="7" fillId="0" borderId="102" xfId="0" applyNumberFormat="1" applyFont="1" applyFill="1" applyBorder="1" applyAlignment="1">
      <alignment vertical="center"/>
    </xf>
    <xf numFmtId="176" fontId="7" fillId="0" borderId="99" xfId="0" applyNumberFormat="1" applyFont="1" applyFill="1" applyBorder="1" applyAlignment="1">
      <alignment vertical="center"/>
    </xf>
    <xf numFmtId="176" fontId="7" fillId="0" borderId="100" xfId="0" applyNumberFormat="1" applyFont="1" applyFill="1" applyBorder="1" applyAlignment="1">
      <alignment vertical="center"/>
    </xf>
    <xf numFmtId="193" fontId="7" fillId="0" borderId="71" xfId="0" applyNumberFormat="1" applyFont="1" applyFill="1" applyBorder="1" applyAlignment="1">
      <alignment vertical="center"/>
    </xf>
    <xf numFmtId="176" fontId="7" fillId="0" borderId="10"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79" xfId="0" applyNumberFormat="1" applyFont="1" applyFill="1" applyBorder="1" applyAlignment="1">
      <alignment horizontal="distributed" vertical="center"/>
    </xf>
    <xf numFmtId="176" fontId="11" fillId="0" borderId="68" xfId="0" applyNumberFormat="1"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09" xfId="0" applyFont="1" applyFill="1" applyBorder="1" applyAlignment="1">
      <alignment horizontal="center" vertical="center"/>
    </xf>
    <xf numFmtId="176" fontId="7" fillId="0" borderId="115" xfId="0" applyNumberFormat="1" applyFont="1" applyFill="1" applyBorder="1" applyAlignment="1">
      <alignment horizontal="lef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176" fontId="8" fillId="0" borderId="11" xfId="0" applyNumberFormat="1" applyFont="1" applyFill="1" applyBorder="1" applyAlignment="1">
      <alignment horizontal="center" vertical="distributed"/>
    </xf>
    <xf numFmtId="176" fontId="8" fillId="0" borderId="10" xfId="0" applyNumberFormat="1" applyFont="1" applyFill="1" applyBorder="1" applyAlignment="1">
      <alignment horizontal="center" vertical="distributed"/>
    </xf>
    <xf numFmtId="0" fontId="7" fillId="0" borderId="53" xfId="0" applyFont="1" applyFill="1" applyBorder="1" applyAlignment="1">
      <alignment vertical="center"/>
    </xf>
    <xf numFmtId="176" fontId="9" fillId="0" borderId="116" xfId="0" applyNumberFormat="1" applyFont="1" applyFill="1" applyBorder="1" applyAlignment="1">
      <alignment horizontal="center" vertical="center"/>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176" fontId="11" fillId="0" borderId="119" xfId="0" applyNumberFormat="1" applyFont="1" applyFill="1" applyBorder="1" applyAlignment="1">
      <alignment horizontal="center" vertical="center"/>
    </xf>
    <xf numFmtId="176" fontId="11" fillId="0" borderId="120" xfId="0" applyNumberFormat="1" applyFont="1" applyFill="1" applyBorder="1" applyAlignment="1">
      <alignment horizontal="center" vertical="center"/>
    </xf>
    <xf numFmtId="176" fontId="11" fillId="0" borderId="38"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8" fillId="0" borderId="89" xfId="0" applyNumberFormat="1" applyFont="1" applyFill="1" applyBorder="1" applyAlignment="1">
      <alignment vertical="center"/>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xf>
    <xf numFmtId="176" fontId="7" fillId="0" borderId="22" xfId="0" applyNumberFormat="1" applyFont="1" applyFill="1" applyBorder="1" applyAlignment="1">
      <alignment horizontal="distributed" vertical="top" wrapText="1"/>
    </xf>
    <xf numFmtId="0" fontId="7" fillId="0" borderId="38" xfId="0" applyFont="1" applyFill="1" applyBorder="1" applyAlignment="1">
      <alignment horizontal="distributed" vertical="top" wrapText="1"/>
    </xf>
    <xf numFmtId="176" fontId="7" fillId="0" borderId="74" xfId="0" applyNumberFormat="1"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176" fontId="7" fillId="0" borderId="106" xfId="0" applyNumberFormat="1" applyFont="1" applyFill="1" applyBorder="1" applyAlignment="1">
      <alignment vertical="center"/>
    </xf>
    <xf numFmtId="0" fontId="7" fillId="0" borderId="106" xfId="0" applyFont="1" applyFill="1" applyBorder="1" applyAlignment="1">
      <alignment vertical="center"/>
    </xf>
    <xf numFmtId="0" fontId="7" fillId="0" borderId="107" xfId="0" applyFont="1" applyFill="1" applyBorder="1" applyAlignment="1">
      <alignment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7" fillId="0" borderId="25" xfId="0" applyNumberFormat="1" applyFont="1" applyFill="1" applyBorder="1" applyAlignment="1">
      <alignment horizontal="distributed" vertical="top" wrapText="1"/>
    </xf>
    <xf numFmtId="0" fontId="7" fillId="0" borderId="12" xfId="0" applyFont="1" applyFill="1" applyBorder="1" applyAlignment="1">
      <alignment vertical="top" wrapText="1"/>
    </xf>
    <xf numFmtId="193" fontId="7" fillId="0" borderId="123" xfId="0" applyNumberFormat="1" applyFont="1" applyFill="1" applyBorder="1" applyAlignment="1">
      <alignment vertical="center"/>
    </xf>
    <xf numFmtId="0" fontId="7" fillId="0" borderId="124" xfId="0" applyFont="1" applyFill="1" applyBorder="1" applyAlignment="1">
      <alignment vertical="center"/>
    </xf>
    <xf numFmtId="193" fontId="7" fillId="0" borderId="125" xfId="0" applyNumberFormat="1" applyFont="1" applyFill="1" applyBorder="1" applyAlignment="1">
      <alignment vertical="center"/>
    </xf>
    <xf numFmtId="193" fontId="7" fillId="0" borderId="126" xfId="0" applyNumberFormat="1" applyFont="1" applyFill="1" applyBorder="1" applyAlignment="1">
      <alignment vertical="center"/>
    </xf>
    <xf numFmtId="176" fontId="8" fillId="0" borderId="127" xfId="0" applyNumberFormat="1" applyFont="1" applyFill="1" applyBorder="1" applyAlignment="1">
      <alignment horizontal="center" vertical="center"/>
    </xf>
    <xf numFmtId="0" fontId="8" fillId="0" borderId="128" xfId="0" applyFont="1" applyFill="1" applyBorder="1" applyAlignment="1">
      <alignment horizontal="center" vertical="center"/>
    </xf>
    <xf numFmtId="0" fontId="8" fillId="0" borderId="129" xfId="0" applyFont="1" applyFill="1" applyBorder="1" applyAlignment="1">
      <alignment horizontal="center" vertical="center"/>
    </xf>
    <xf numFmtId="0" fontId="7" fillId="0" borderId="99" xfId="0" applyFont="1" applyFill="1" applyBorder="1" applyAlignment="1">
      <alignment vertical="center"/>
    </xf>
    <xf numFmtId="0" fontId="7" fillId="0" borderId="100" xfId="0" applyFont="1" applyFill="1" applyBorder="1" applyAlignment="1">
      <alignment vertical="center"/>
    </xf>
    <xf numFmtId="176" fontId="8" fillId="0" borderId="130" xfId="0" applyNumberFormat="1" applyFont="1" applyFill="1" applyBorder="1" applyAlignment="1">
      <alignment horizontal="center" vertical="center"/>
    </xf>
    <xf numFmtId="0" fontId="8" fillId="0" borderId="131" xfId="0" applyFont="1" applyFill="1" applyBorder="1" applyAlignment="1">
      <alignment horizontal="center" vertical="center"/>
    </xf>
    <xf numFmtId="0" fontId="8" fillId="0" borderId="132" xfId="0" applyFont="1" applyFill="1" applyBorder="1" applyAlignment="1">
      <alignment horizontal="center" vertical="center"/>
    </xf>
    <xf numFmtId="176" fontId="7" fillId="0" borderId="123" xfId="0" applyNumberFormat="1" applyFont="1" applyFill="1" applyBorder="1" applyAlignment="1">
      <alignment vertical="center"/>
    </xf>
    <xf numFmtId="176" fontId="7" fillId="0" borderId="124" xfId="0" applyNumberFormat="1" applyFont="1" applyFill="1" applyBorder="1" applyAlignment="1">
      <alignment vertical="center"/>
    </xf>
    <xf numFmtId="176" fontId="7" fillId="0" borderId="133" xfId="0" applyNumberFormat="1" applyFont="1" applyFill="1" applyBorder="1" applyAlignment="1">
      <alignment vertical="center"/>
    </xf>
    <xf numFmtId="176" fontId="8" fillId="0" borderId="134" xfId="0" applyNumberFormat="1" applyFont="1" applyFill="1" applyBorder="1" applyAlignment="1">
      <alignment horizontal="center" vertical="distributed"/>
    </xf>
    <xf numFmtId="176" fontId="8" fillId="0" borderId="15" xfId="0" applyNumberFormat="1" applyFont="1" applyFill="1" applyBorder="1" applyAlignment="1">
      <alignment horizontal="center" vertical="distributed"/>
    </xf>
    <xf numFmtId="176" fontId="8" fillId="0" borderId="135" xfId="0" applyNumberFormat="1" applyFont="1" applyFill="1" applyBorder="1" applyAlignment="1">
      <alignment horizontal="center" vertical="distributed"/>
    </xf>
    <xf numFmtId="176" fontId="7" fillId="0" borderId="125" xfId="0" applyNumberFormat="1" applyFont="1" applyFill="1" applyBorder="1" applyAlignment="1">
      <alignment vertical="center"/>
    </xf>
    <xf numFmtId="176" fontId="7" fillId="0" borderId="126" xfId="0" applyNumberFormat="1" applyFont="1" applyFill="1" applyBorder="1" applyAlignment="1">
      <alignment vertical="center"/>
    </xf>
    <xf numFmtId="176" fontId="7" fillId="0" borderId="136" xfId="0" applyNumberFormat="1" applyFont="1" applyFill="1" applyBorder="1" applyAlignment="1">
      <alignment vertical="center"/>
    </xf>
    <xf numFmtId="176" fontId="7" fillId="0" borderId="70" xfId="0" applyNumberFormat="1" applyFont="1" applyFill="1" applyBorder="1" applyAlignment="1">
      <alignment vertical="center"/>
    </xf>
    <xf numFmtId="176" fontId="7" fillId="0" borderId="71"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12" xfId="0" applyNumberFormat="1" applyFont="1" applyFill="1" applyBorder="1" applyAlignment="1">
      <alignment horizontal="distributed" vertical="top" wrapText="1"/>
    </xf>
    <xf numFmtId="0" fontId="0" fillId="0" borderId="12" xfId="0" applyFill="1" applyBorder="1" applyAlignment="1">
      <alignment horizontal="distributed" vertical="center"/>
    </xf>
    <xf numFmtId="176"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76" fontId="6" fillId="0" borderId="0" xfId="0" applyNumberFormat="1" applyFont="1" applyFill="1" applyBorder="1" applyAlignment="1">
      <alignment horizontal="center"/>
    </xf>
    <xf numFmtId="0" fontId="7" fillId="0" borderId="0" xfId="0" applyFont="1" applyFill="1" applyAlignment="1">
      <alignment horizontal="center"/>
    </xf>
    <xf numFmtId="176" fontId="7" fillId="0" borderId="25" xfId="0" applyNumberFormat="1" applyFont="1" applyFill="1" applyBorder="1" applyAlignment="1">
      <alignment horizontal="distributed" vertical="center" wrapText="1"/>
    </xf>
    <xf numFmtId="0" fontId="0" fillId="0" borderId="12" xfId="0" applyFont="1" applyFill="1" applyBorder="1" applyAlignment="1">
      <alignment vertical="center"/>
    </xf>
    <xf numFmtId="176" fontId="7" fillId="0" borderId="24" xfId="0" applyNumberFormat="1" applyFont="1" applyFill="1" applyBorder="1" applyAlignment="1">
      <alignment horizontal="left" vertical="center"/>
    </xf>
    <xf numFmtId="0" fontId="7" fillId="0" borderId="113" xfId="0" applyFont="1" applyFill="1" applyBorder="1" applyAlignment="1">
      <alignment horizontal="left" vertical="center"/>
    </xf>
    <xf numFmtId="0" fontId="7" fillId="0" borderId="114" xfId="0" applyFont="1" applyFill="1" applyBorder="1" applyAlignment="1">
      <alignment horizontal="left" vertical="center"/>
    </xf>
    <xf numFmtId="176" fontId="8" fillId="0" borderId="93"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79" xfId="0" applyNumberFormat="1" applyFont="1" applyFill="1" applyBorder="1" applyAlignment="1">
      <alignment vertical="center"/>
    </xf>
    <xf numFmtId="176" fontId="7" fillId="0" borderId="96"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98" xfId="0" applyNumberFormat="1" applyFont="1" applyFill="1" applyBorder="1" applyAlignment="1">
      <alignment vertical="center"/>
    </xf>
    <xf numFmtId="176" fontId="8" fillId="0" borderId="137" xfId="0" applyNumberFormat="1" applyFont="1" applyFill="1" applyBorder="1" applyAlignment="1">
      <alignment horizontal="center" vertical="center"/>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9" xfId="0" applyFont="1" applyFill="1" applyBorder="1" applyAlignment="1">
      <alignment vertical="center"/>
    </xf>
    <xf numFmtId="176" fontId="8" fillId="0" borderId="102" xfId="0" applyNumberFormat="1" applyFont="1" applyFill="1" applyBorder="1" applyAlignment="1">
      <alignment vertical="center" shrinkToFit="1"/>
    </xf>
    <xf numFmtId="0" fontId="0" fillId="0" borderId="99" xfId="0" applyFill="1" applyBorder="1" applyAlignment="1">
      <alignment vertical="center" shrinkToFit="1"/>
    </xf>
    <xf numFmtId="0" fontId="0" fillId="0" borderId="100" xfId="0" applyFill="1" applyBorder="1" applyAlignment="1">
      <alignment vertical="center" shrinkToFit="1"/>
    </xf>
    <xf numFmtId="0" fontId="7" fillId="0" borderId="12" xfId="0" applyFont="1" applyFill="1" applyBorder="1" applyAlignment="1">
      <alignment horizontal="distributed" vertical="top" wrapText="1"/>
    </xf>
    <xf numFmtId="0" fontId="0" fillId="0" borderId="12" xfId="0" applyFill="1" applyBorder="1" applyAlignment="1">
      <alignment vertical="center"/>
    </xf>
    <xf numFmtId="0" fontId="0" fillId="0" borderId="99" xfId="0" applyBorder="1" applyAlignment="1">
      <alignment vertical="center" shrinkToFit="1"/>
    </xf>
    <xf numFmtId="0" fontId="0" fillId="0" borderId="100" xfId="0" applyBorder="1" applyAlignment="1">
      <alignment vertical="center" shrinkToFit="1"/>
    </xf>
    <xf numFmtId="176" fontId="11" fillId="0" borderId="22" xfId="0" applyNumberFormat="1" applyFont="1" applyFill="1" applyBorder="1" applyAlignment="1">
      <alignment horizontal="distributed" vertical="top" wrapText="1"/>
    </xf>
    <xf numFmtId="0" fontId="11" fillId="0" borderId="38" xfId="0" applyFont="1" applyFill="1" applyBorder="1" applyAlignment="1">
      <alignment horizontal="distributed" vertical="top" wrapText="1"/>
    </xf>
    <xf numFmtId="176" fontId="8" fillId="0" borderId="25" xfId="0" applyNumberFormat="1" applyFont="1" applyFill="1" applyBorder="1" applyAlignment="1">
      <alignment horizontal="distributed" vertical="top" wrapText="1"/>
    </xf>
    <xf numFmtId="176" fontId="7" fillId="0" borderId="70" xfId="0" applyNumberFormat="1" applyFont="1" applyFill="1" applyBorder="1" applyAlignment="1">
      <alignment horizontal="left" vertical="center" shrinkToFit="1"/>
    </xf>
    <xf numFmtId="0" fontId="0" fillId="0" borderId="71" xfId="0" applyBorder="1" applyAlignment="1">
      <alignment vertical="center" shrinkToFit="1"/>
    </xf>
    <xf numFmtId="0" fontId="0" fillId="0" borderId="72" xfId="0" applyBorder="1" applyAlignment="1">
      <alignment vertical="center" shrinkToFit="1"/>
    </xf>
    <xf numFmtId="176" fontId="7" fillId="0" borderId="120" xfId="0" applyNumberFormat="1" applyFont="1" applyFill="1" applyBorder="1" applyAlignment="1">
      <alignment vertical="center" wrapText="1"/>
    </xf>
    <xf numFmtId="0" fontId="7" fillId="0" borderId="12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集落営農実態調査集計様式H18.4.1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0"/>
  <sheetViews>
    <sheetView tabSelected="1" zoomScalePageLayoutView="0" workbookViewId="0" topLeftCell="A1">
      <selection activeCell="B2" sqref="B2"/>
    </sheetView>
  </sheetViews>
  <sheetFormatPr defaultColWidth="9.00390625" defaultRowHeight="19.5" customHeight="1"/>
  <cols>
    <col min="1" max="1" width="17.625" style="175" customWidth="1"/>
    <col min="2" max="2" width="3.125" style="175" customWidth="1"/>
    <col min="3" max="3" width="1.625" style="175" customWidth="1"/>
    <col min="4" max="4" width="2.50390625" style="175" customWidth="1"/>
    <col min="5" max="5" width="2.25390625" style="175" customWidth="1"/>
    <col min="6" max="6" width="14.875" style="175" customWidth="1"/>
    <col min="7" max="8" width="14.625" style="175" customWidth="1"/>
    <col min="9" max="11" width="12.625" style="175" customWidth="1"/>
    <col min="12" max="12" width="0.875" style="175" customWidth="1"/>
    <col min="13" max="13" width="1.00390625" style="175" customWidth="1"/>
    <col min="14" max="14" width="17.625" style="175" customWidth="1"/>
    <col min="15" max="15" width="3.125" style="175" customWidth="1"/>
    <col min="16" max="16" width="1.625" style="175" customWidth="1"/>
    <col min="17" max="17" width="2.50390625" style="175" customWidth="1"/>
    <col min="18" max="18" width="2.25390625" style="175" customWidth="1"/>
    <col min="19" max="19" width="14.875" style="175" customWidth="1"/>
    <col min="20" max="21" width="14.625" style="175" customWidth="1"/>
    <col min="22" max="24" width="12.625" style="175" customWidth="1"/>
    <col min="25" max="25" width="1.00390625" style="1" hidden="1" customWidth="1"/>
    <col min="26" max="27" width="9.00390625" style="1" customWidth="1"/>
    <col min="28" max="28" width="3.75390625" style="1" customWidth="1"/>
    <col min="29" max="30" width="9.00390625" style="1" customWidth="1"/>
    <col min="31" max="31" width="4.00390625" style="1" customWidth="1"/>
    <col min="32" max="16384" width="9.00390625" style="1" customWidth="1"/>
  </cols>
  <sheetData>
    <row r="1" spans="1:24" s="2" customFormat="1" ht="30" customHeight="1">
      <c r="A1" s="428" t="s">
        <v>126</v>
      </c>
      <c r="B1" s="429"/>
      <c r="C1" s="429"/>
      <c r="D1" s="429"/>
      <c r="E1" s="429"/>
      <c r="F1" s="429"/>
      <c r="G1" s="429"/>
      <c r="H1" s="429"/>
      <c r="I1" s="429"/>
      <c r="J1" s="429"/>
      <c r="K1" s="429"/>
      <c r="L1" s="161"/>
      <c r="M1" s="161"/>
      <c r="N1" s="428" t="s">
        <v>132</v>
      </c>
      <c r="O1" s="429"/>
      <c r="P1" s="429"/>
      <c r="Q1" s="429"/>
      <c r="R1" s="429"/>
      <c r="S1" s="429"/>
      <c r="T1" s="429"/>
      <c r="U1" s="429"/>
      <c r="V1" s="429"/>
      <c r="W1" s="429"/>
      <c r="X1" s="429"/>
    </row>
    <row r="2" spans="1:24" s="2" customFormat="1" ht="27" customHeight="1" thickBot="1">
      <c r="A2" s="217"/>
      <c r="B2" s="217"/>
      <c r="C2" s="217"/>
      <c r="D2" s="217"/>
      <c r="E2" s="217"/>
      <c r="F2" s="217"/>
      <c r="G2" s="162"/>
      <c r="H2" s="162"/>
      <c r="I2" s="162"/>
      <c r="J2" s="162"/>
      <c r="K2" s="163" t="s">
        <v>127</v>
      </c>
      <c r="L2" s="163"/>
      <c r="M2" s="162"/>
      <c r="N2" s="162"/>
      <c r="O2" s="162"/>
      <c r="P2" s="162"/>
      <c r="Q2" s="162"/>
      <c r="R2" s="162"/>
      <c r="S2" s="162"/>
      <c r="T2" s="162"/>
      <c r="U2" s="162"/>
      <c r="V2" s="164"/>
      <c r="W2" s="164"/>
      <c r="X2" s="338" t="s">
        <v>127</v>
      </c>
    </row>
    <row r="3" spans="1:24" s="3" customFormat="1" ht="19.5" customHeight="1">
      <c r="A3" s="380" t="s">
        <v>113</v>
      </c>
      <c r="B3" s="381"/>
      <c r="C3" s="381"/>
      <c r="D3" s="381"/>
      <c r="E3" s="381"/>
      <c r="F3" s="381"/>
      <c r="G3" s="377" t="s">
        <v>90</v>
      </c>
      <c r="H3" s="378"/>
      <c r="I3" s="378"/>
      <c r="J3" s="378"/>
      <c r="K3" s="378"/>
      <c r="L3" s="190"/>
      <c r="M3" s="188"/>
      <c r="N3" s="380" t="s">
        <v>113</v>
      </c>
      <c r="O3" s="381"/>
      <c r="P3" s="381"/>
      <c r="Q3" s="381"/>
      <c r="R3" s="381"/>
      <c r="S3" s="381"/>
      <c r="T3" s="377" t="s">
        <v>97</v>
      </c>
      <c r="U3" s="378"/>
      <c r="V3" s="378"/>
      <c r="W3" s="378"/>
      <c r="X3" s="379"/>
    </row>
    <row r="4" spans="1:24" s="3" customFormat="1" ht="19.5" customHeight="1">
      <c r="A4" s="382"/>
      <c r="B4" s="383"/>
      <c r="C4" s="383"/>
      <c r="D4" s="383"/>
      <c r="E4" s="383"/>
      <c r="F4" s="383"/>
      <c r="G4" s="92" t="s">
        <v>130</v>
      </c>
      <c r="H4" s="93" t="s">
        <v>128</v>
      </c>
      <c r="I4" s="94" t="s">
        <v>33</v>
      </c>
      <c r="J4" s="94" t="s">
        <v>23</v>
      </c>
      <c r="K4" s="94" t="s">
        <v>57</v>
      </c>
      <c r="L4" s="191"/>
      <c r="M4" s="189"/>
      <c r="N4" s="382"/>
      <c r="O4" s="383"/>
      <c r="P4" s="383"/>
      <c r="Q4" s="383"/>
      <c r="R4" s="383"/>
      <c r="S4" s="383"/>
      <c r="T4" s="92" t="s">
        <v>130</v>
      </c>
      <c r="U4" s="94" t="s">
        <v>128</v>
      </c>
      <c r="V4" s="94" t="s">
        <v>33</v>
      </c>
      <c r="W4" s="165" t="s">
        <v>23</v>
      </c>
      <c r="X4" s="166" t="s">
        <v>57</v>
      </c>
    </row>
    <row r="5" spans="1:24" s="3" customFormat="1" ht="24.75" customHeight="1" thickBot="1">
      <c r="A5" s="368" t="s">
        <v>106</v>
      </c>
      <c r="B5" s="369"/>
      <c r="C5" s="369"/>
      <c r="D5" s="369"/>
      <c r="E5" s="369"/>
      <c r="F5" s="370"/>
      <c r="G5" s="95" t="s">
        <v>66</v>
      </c>
      <c r="H5" s="96" t="s">
        <v>67</v>
      </c>
      <c r="I5" s="97" t="s">
        <v>68</v>
      </c>
      <c r="J5" s="97" t="s">
        <v>69</v>
      </c>
      <c r="K5" s="97" t="s">
        <v>70</v>
      </c>
      <c r="L5" s="191"/>
      <c r="M5" s="189"/>
      <c r="N5" s="368" t="s">
        <v>106</v>
      </c>
      <c r="O5" s="369"/>
      <c r="P5" s="369"/>
      <c r="Q5" s="369"/>
      <c r="R5" s="369"/>
      <c r="S5" s="370"/>
      <c r="T5" s="95" t="s">
        <v>71</v>
      </c>
      <c r="U5" s="97" t="s">
        <v>72</v>
      </c>
      <c r="V5" s="97" t="s">
        <v>73</v>
      </c>
      <c r="W5" s="97" t="s">
        <v>74</v>
      </c>
      <c r="X5" s="167" t="s">
        <v>70</v>
      </c>
    </row>
    <row r="6" spans="1:24" s="3" customFormat="1" ht="25.5" customHeight="1" thickTop="1">
      <c r="A6" s="243" t="s">
        <v>1</v>
      </c>
      <c r="B6" s="365" t="s">
        <v>0</v>
      </c>
      <c r="C6" s="366"/>
      <c r="D6" s="366"/>
      <c r="E6" s="366"/>
      <c r="F6" s="367"/>
      <c r="G6" s="222">
        <v>17979</v>
      </c>
      <c r="H6" s="223">
        <v>23396</v>
      </c>
      <c r="I6" s="4">
        <f aca="true" t="shared" si="0" ref="I6:I37">SUM(G6-H6)</f>
        <v>-5417</v>
      </c>
      <c r="J6" s="5">
        <f aca="true" t="shared" si="1" ref="J6:J37">SUM(G6/H6*100)-100</f>
        <v>-23.15353051803727</v>
      </c>
      <c r="K6" s="6">
        <f>SUM(G6/G6*100)</f>
        <v>100</v>
      </c>
      <c r="L6" s="192"/>
      <c r="M6" s="187"/>
      <c r="N6" s="243" t="s">
        <v>1</v>
      </c>
      <c r="O6" s="365" t="s">
        <v>0</v>
      </c>
      <c r="P6" s="366"/>
      <c r="Q6" s="366"/>
      <c r="R6" s="366"/>
      <c r="S6" s="367"/>
      <c r="T6" s="7">
        <v>1404488</v>
      </c>
      <c r="U6" s="218">
        <v>1726751</v>
      </c>
      <c r="V6" s="8">
        <f aca="true" t="shared" si="2" ref="V6:V37">SUM(T6-U6)</f>
        <v>-322263</v>
      </c>
      <c r="W6" s="5">
        <f aca="true" t="shared" si="3" ref="W6:W37">SUM(T6/U6*100)-100</f>
        <v>-18.66296877777978</v>
      </c>
      <c r="X6" s="9">
        <f>SUM(T6/T6*100)</f>
        <v>100</v>
      </c>
    </row>
    <row r="7" spans="1:24" s="3" customFormat="1" ht="25.5" customHeight="1">
      <c r="A7" s="62" t="s">
        <v>13</v>
      </c>
      <c r="B7" s="244"/>
      <c r="C7" s="245" t="s">
        <v>31</v>
      </c>
      <c r="D7" s="246"/>
      <c r="E7" s="246"/>
      <c r="F7" s="247"/>
      <c r="G7" s="224">
        <v>17759</v>
      </c>
      <c r="H7" s="225">
        <v>22906</v>
      </c>
      <c r="I7" s="10">
        <f t="shared" si="0"/>
        <v>-5147</v>
      </c>
      <c r="J7" s="226">
        <f t="shared" si="1"/>
        <v>-22.470095171570776</v>
      </c>
      <c r="K7" s="11">
        <f>SUM(G7/G6*100)</f>
        <v>98.7763501863285</v>
      </c>
      <c r="L7" s="192"/>
      <c r="M7" s="187"/>
      <c r="N7" s="62" t="s">
        <v>13</v>
      </c>
      <c r="O7" s="244"/>
      <c r="P7" s="245" t="s">
        <v>31</v>
      </c>
      <c r="Q7" s="246"/>
      <c r="R7" s="246"/>
      <c r="S7" s="247"/>
      <c r="T7" s="12">
        <v>1377266</v>
      </c>
      <c r="U7" s="13">
        <v>1679084</v>
      </c>
      <c r="V7" s="14">
        <f t="shared" si="2"/>
        <v>-301818</v>
      </c>
      <c r="W7" s="15">
        <f t="shared" si="3"/>
        <v>-17.975157883703247</v>
      </c>
      <c r="X7" s="16">
        <f>SUM(T7/T6*100)</f>
        <v>98.06178479275009</v>
      </c>
    </row>
    <row r="8" spans="1:24" s="3" customFormat="1" ht="25.5" customHeight="1">
      <c r="A8" s="62"/>
      <c r="B8" s="244"/>
      <c r="C8" s="248"/>
      <c r="D8" s="246" t="s">
        <v>115</v>
      </c>
      <c r="E8" s="246"/>
      <c r="F8" s="247"/>
      <c r="G8" s="39">
        <v>591</v>
      </c>
      <c r="H8" s="17">
        <v>433</v>
      </c>
      <c r="I8" s="18">
        <f t="shared" si="0"/>
        <v>158</v>
      </c>
      <c r="J8" s="19">
        <f t="shared" si="1"/>
        <v>36.48960739030022</v>
      </c>
      <c r="K8" s="11">
        <f>SUM(G8/G6*100)</f>
        <v>3.287168363090272</v>
      </c>
      <c r="L8" s="192"/>
      <c r="M8" s="187"/>
      <c r="N8" s="62"/>
      <c r="O8" s="244"/>
      <c r="P8" s="248"/>
      <c r="Q8" s="246" t="s">
        <v>115</v>
      </c>
      <c r="R8" s="246"/>
      <c r="S8" s="247"/>
      <c r="T8" s="20">
        <v>27101</v>
      </c>
      <c r="U8" s="21">
        <v>21627</v>
      </c>
      <c r="V8" s="22">
        <f t="shared" si="2"/>
        <v>5474</v>
      </c>
      <c r="W8" s="11">
        <f t="shared" si="3"/>
        <v>25.310953900217314</v>
      </c>
      <c r="X8" s="16">
        <f>SUM(T8/T6*100)</f>
        <v>1.9295999681022553</v>
      </c>
    </row>
    <row r="9" spans="1:24" s="3" customFormat="1" ht="25.5" customHeight="1">
      <c r="A9" s="62"/>
      <c r="B9" s="244"/>
      <c r="C9" s="249"/>
      <c r="D9" s="249"/>
      <c r="E9" s="250" t="s">
        <v>34</v>
      </c>
      <c r="F9" s="247"/>
      <c r="G9" s="39">
        <v>358</v>
      </c>
      <c r="H9" s="17">
        <v>209</v>
      </c>
      <c r="I9" s="23">
        <f t="shared" si="0"/>
        <v>149</v>
      </c>
      <c r="J9" s="19">
        <f t="shared" si="1"/>
        <v>71.29186602870814</v>
      </c>
      <c r="K9" s="11">
        <f>SUM(G9/G6*100)</f>
        <v>1.9912119695199955</v>
      </c>
      <c r="L9" s="192"/>
      <c r="M9" s="187"/>
      <c r="N9" s="62"/>
      <c r="O9" s="244"/>
      <c r="P9" s="249"/>
      <c r="Q9" s="249"/>
      <c r="R9" s="250" t="s">
        <v>34</v>
      </c>
      <c r="S9" s="247"/>
      <c r="T9" s="24">
        <v>6199</v>
      </c>
      <c r="U9" s="25">
        <v>4049</v>
      </c>
      <c r="V9" s="22">
        <f t="shared" si="2"/>
        <v>2150</v>
      </c>
      <c r="W9" s="11">
        <f t="shared" si="3"/>
        <v>53.09953074833291</v>
      </c>
      <c r="X9" s="16">
        <f>SUM(T9/T6*100)</f>
        <v>0.44137080558894054</v>
      </c>
    </row>
    <row r="10" spans="1:24" s="3" customFormat="1" ht="25.5" customHeight="1">
      <c r="A10" s="62"/>
      <c r="B10" s="244"/>
      <c r="C10" s="248"/>
      <c r="D10" s="248"/>
      <c r="E10" s="246" t="s">
        <v>117</v>
      </c>
      <c r="F10" s="247"/>
      <c r="G10" s="39">
        <v>151</v>
      </c>
      <c r="H10" s="17">
        <v>124</v>
      </c>
      <c r="I10" s="18">
        <f t="shared" si="0"/>
        <v>27</v>
      </c>
      <c r="J10" s="19">
        <f t="shared" si="1"/>
        <v>21.774193548387103</v>
      </c>
      <c r="K10" s="11">
        <f>SUM(G10/G6*100)</f>
        <v>0.8398687357472607</v>
      </c>
      <c r="L10" s="192"/>
      <c r="M10" s="187"/>
      <c r="N10" s="62"/>
      <c r="O10" s="244"/>
      <c r="P10" s="248"/>
      <c r="Q10" s="248"/>
      <c r="R10" s="246" t="s">
        <v>117</v>
      </c>
      <c r="S10" s="247"/>
      <c r="T10" s="20">
        <v>16573</v>
      </c>
      <c r="U10" s="21">
        <v>12984</v>
      </c>
      <c r="V10" s="22">
        <f t="shared" si="2"/>
        <v>3589</v>
      </c>
      <c r="W10" s="11">
        <f t="shared" si="3"/>
        <v>27.641712877387548</v>
      </c>
      <c r="X10" s="16">
        <f>SUM(T10/T6*100)</f>
        <v>1.180002961933459</v>
      </c>
    </row>
    <row r="11" spans="1:24" s="3" customFormat="1" ht="25.5" customHeight="1">
      <c r="A11" s="62"/>
      <c r="B11" s="244"/>
      <c r="C11" s="248"/>
      <c r="D11" s="248"/>
      <c r="E11" s="246" t="s">
        <v>53</v>
      </c>
      <c r="F11" s="247"/>
      <c r="G11" s="39">
        <v>71</v>
      </c>
      <c r="H11" s="17">
        <v>92</v>
      </c>
      <c r="I11" s="18">
        <f t="shared" si="0"/>
        <v>-21</v>
      </c>
      <c r="J11" s="19">
        <f t="shared" si="1"/>
        <v>-22.826086956521735</v>
      </c>
      <c r="K11" s="11">
        <f>SUM(G11/G6*100)</f>
        <v>0.39490516713944046</v>
      </c>
      <c r="L11" s="192"/>
      <c r="M11" s="187"/>
      <c r="N11" s="62"/>
      <c r="O11" s="244"/>
      <c r="P11" s="248"/>
      <c r="Q11" s="248"/>
      <c r="R11" s="246" t="s">
        <v>53</v>
      </c>
      <c r="S11" s="247"/>
      <c r="T11" s="20">
        <v>3438</v>
      </c>
      <c r="U11" s="21">
        <v>4069</v>
      </c>
      <c r="V11" s="22">
        <f t="shared" si="2"/>
        <v>-631</v>
      </c>
      <c r="W11" s="11">
        <f t="shared" si="3"/>
        <v>-15.507495699188993</v>
      </c>
      <c r="X11" s="16">
        <f>SUM(T11/T6*100)</f>
        <v>0.24478671231082075</v>
      </c>
    </row>
    <row r="12" spans="1:24" s="3" customFormat="1" ht="25.5" customHeight="1">
      <c r="A12" s="62"/>
      <c r="B12" s="244"/>
      <c r="C12" s="248"/>
      <c r="D12" s="249"/>
      <c r="E12" s="251"/>
      <c r="F12" s="252" t="s">
        <v>60</v>
      </c>
      <c r="G12" s="39">
        <v>1</v>
      </c>
      <c r="H12" s="17">
        <v>6</v>
      </c>
      <c r="I12" s="18">
        <f t="shared" si="0"/>
        <v>-5</v>
      </c>
      <c r="J12" s="19">
        <f t="shared" si="1"/>
        <v>-83.33333333333334</v>
      </c>
      <c r="K12" s="11">
        <f>SUM(G12/G7*100)</f>
        <v>0.005630947688495974</v>
      </c>
      <c r="L12" s="192"/>
      <c r="M12" s="187"/>
      <c r="N12" s="62"/>
      <c r="O12" s="244"/>
      <c r="P12" s="248"/>
      <c r="Q12" s="249"/>
      <c r="R12" s="251"/>
      <c r="S12" s="252" t="s">
        <v>60</v>
      </c>
      <c r="T12" s="20">
        <v>767</v>
      </c>
      <c r="U12" s="21">
        <v>674</v>
      </c>
      <c r="V12" s="22">
        <f t="shared" si="2"/>
        <v>93</v>
      </c>
      <c r="W12" s="11">
        <f t="shared" si="3"/>
        <v>13.798219584569722</v>
      </c>
      <c r="X12" s="16">
        <f>SUM(T12/T7*100)</f>
        <v>0.05569004099425964</v>
      </c>
    </row>
    <row r="13" spans="1:24" s="3" customFormat="1" ht="25.5" customHeight="1">
      <c r="A13" s="62"/>
      <c r="B13" s="244"/>
      <c r="C13" s="251"/>
      <c r="D13" s="250" t="s">
        <v>131</v>
      </c>
      <c r="E13" s="246"/>
      <c r="F13" s="247"/>
      <c r="G13" s="39">
        <v>16778</v>
      </c>
      <c r="H13" s="17">
        <v>21954</v>
      </c>
      <c r="I13" s="18">
        <f t="shared" si="0"/>
        <v>-5176</v>
      </c>
      <c r="J13" s="19">
        <f t="shared" si="1"/>
        <v>-23.576569190124815</v>
      </c>
      <c r="K13" s="11">
        <f>SUM(G13/G6*100)</f>
        <v>93.3199844262751</v>
      </c>
      <c r="L13" s="192"/>
      <c r="M13" s="187"/>
      <c r="N13" s="62"/>
      <c r="O13" s="244"/>
      <c r="P13" s="251"/>
      <c r="Q13" s="250" t="s">
        <v>131</v>
      </c>
      <c r="R13" s="246"/>
      <c r="S13" s="247"/>
      <c r="T13" s="20">
        <v>1339964</v>
      </c>
      <c r="U13" s="21">
        <v>1643518</v>
      </c>
      <c r="V13" s="22">
        <f t="shared" si="2"/>
        <v>-303554</v>
      </c>
      <c r="W13" s="11">
        <f t="shared" si="3"/>
        <v>-18.469770334124718</v>
      </c>
      <c r="X13" s="16">
        <f>SUM(T13/T6*100)</f>
        <v>95.40587032427476</v>
      </c>
    </row>
    <row r="14" spans="1:24" s="3" customFormat="1" ht="25.5" customHeight="1">
      <c r="A14" s="62"/>
      <c r="B14" s="244"/>
      <c r="C14" s="245" t="s">
        <v>32</v>
      </c>
      <c r="D14" s="246"/>
      <c r="E14" s="246"/>
      <c r="F14" s="247"/>
      <c r="G14" s="224">
        <v>473</v>
      </c>
      <c r="H14" s="225">
        <v>964</v>
      </c>
      <c r="I14" s="10">
        <f t="shared" si="0"/>
        <v>-491</v>
      </c>
      <c r="J14" s="226">
        <f t="shared" si="1"/>
        <v>-50.933609958506224</v>
      </c>
      <c r="K14" s="11">
        <f>SUM(G14/G6*100)</f>
        <v>2.630847099393737</v>
      </c>
      <c r="L14" s="192"/>
      <c r="M14" s="187"/>
      <c r="N14" s="62"/>
      <c r="O14" s="244"/>
      <c r="P14" s="245" t="s">
        <v>32</v>
      </c>
      <c r="Q14" s="246"/>
      <c r="R14" s="246"/>
      <c r="S14" s="247"/>
      <c r="T14" s="12">
        <v>87284</v>
      </c>
      <c r="U14" s="13">
        <v>140186</v>
      </c>
      <c r="V14" s="14">
        <f t="shared" si="2"/>
        <v>-52902</v>
      </c>
      <c r="W14" s="15">
        <f t="shared" si="3"/>
        <v>-37.737006548442785</v>
      </c>
      <c r="X14" s="16">
        <f>SUM(T14/T6*100)</f>
        <v>6.214649039365234</v>
      </c>
    </row>
    <row r="15" spans="1:24" s="3" customFormat="1" ht="25.5" customHeight="1" thickBot="1">
      <c r="A15" s="253"/>
      <c r="B15" s="254"/>
      <c r="C15" s="245" t="s">
        <v>116</v>
      </c>
      <c r="D15" s="246"/>
      <c r="E15" s="246"/>
      <c r="F15" s="247"/>
      <c r="G15" s="39">
        <v>629</v>
      </c>
      <c r="H15" s="17">
        <v>485</v>
      </c>
      <c r="I15" s="26">
        <f t="shared" si="0"/>
        <v>144</v>
      </c>
      <c r="J15" s="19">
        <f t="shared" si="1"/>
        <v>29.690721649484544</v>
      </c>
      <c r="K15" s="27">
        <f>SUM(G15/G6*100)</f>
        <v>3.4985260581789865</v>
      </c>
      <c r="L15" s="192"/>
      <c r="M15" s="187"/>
      <c r="N15" s="253"/>
      <c r="O15" s="254"/>
      <c r="P15" s="245" t="s">
        <v>116</v>
      </c>
      <c r="Q15" s="246"/>
      <c r="R15" s="246"/>
      <c r="S15" s="247"/>
      <c r="T15" s="20">
        <v>31919</v>
      </c>
      <c r="U15" s="21">
        <v>27651</v>
      </c>
      <c r="V15" s="43">
        <f t="shared" si="2"/>
        <v>4268</v>
      </c>
      <c r="W15" s="27">
        <f t="shared" si="3"/>
        <v>15.435246464865642</v>
      </c>
      <c r="X15" s="28">
        <f>SUM(T15/T6*100)</f>
        <v>2.2726431268903684</v>
      </c>
    </row>
    <row r="16" spans="1:24" s="3" customFormat="1" ht="25.5" customHeight="1" thickTop="1">
      <c r="A16" s="398" t="s">
        <v>98</v>
      </c>
      <c r="B16" s="356" t="s">
        <v>3</v>
      </c>
      <c r="C16" s="357"/>
      <c r="D16" s="358"/>
      <c r="E16" s="359"/>
      <c r="F16" s="360"/>
      <c r="G16" s="29">
        <v>17759</v>
      </c>
      <c r="H16" s="30">
        <v>22906</v>
      </c>
      <c r="I16" s="31">
        <f t="shared" si="0"/>
        <v>-5147</v>
      </c>
      <c r="J16" s="32">
        <f t="shared" si="1"/>
        <v>-22.470095171570776</v>
      </c>
      <c r="K16" s="33">
        <f>SUM(G16/G16*100)</f>
        <v>100</v>
      </c>
      <c r="L16" s="192"/>
      <c r="M16" s="187"/>
      <c r="N16" s="398" t="s">
        <v>98</v>
      </c>
      <c r="O16" s="356" t="s">
        <v>3</v>
      </c>
      <c r="P16" s="357"/>
      <c r="Q16" s="358"/>
      <c r="R16" s="359"/>
      <c r="S16" s="360"/>
      <c r="T16" s="34">
        <v>1377266</v>
      </c>
      <c r="U16" s="35">
        <v>1679084</v>
      </c>
      <c r="V16" s="36">
        <f t="shared" si="2"/>
        <v>-301818</v>
      </c>
      <c r="W16" s="37">
        <f t="shared" si="3"/>
        <v>-17.975157883703247</v>
      </c>
      <c r="X16" s="38">
        <f>SUM(T16/T16*100)</f>
        <v>100</v>
      </c>
    </row>
    <row r="17" spans="1:24" s="3" customFormat="1" ht="15" customHeight="1">
      <c r="A17" s="452"/>
      <c r="B17" s="244"/>
      <c r="C17" s="384" t="s">
        <v>4</v>
      </c>
      <c r="D17" s="385"/>
      <c r="E17" s="385"/>
      <c r="F17" s="386"/>
      <c r="G17" s="39">
        <f>6067+657</f>
        <v>6724</v>
      </c>
      <c r="H17" s="17">
        <v>6416</v>
      </c>
      <c r="I17" s="18">
        <f t="shared" si="0"/>
        <v>308</v>
      </c>
      <c r="J17" s="11">
        <f t="shared" si="1"/>
        <v>4.8004987531172105</v>
      </c>
      <c r="K17" s="11">
        <f>SUM(G17/G16*100)</f>
        <v>37.86249225744693</v>
      </c>
      <c r="L17" s="192"/>
      <c r="M17" s="187"/>
      <c r="N17" s="452"/>
      <c r="O17" s="244"/>
      <c r="P17" s="384" t="s">
        <v>4</v>
      </c>
      <c r="Q17" s="385"/>
      <c r="R17" s="385"/>
      <c r="S17" s="386"/>
      <c r="T17" s="20">
        <f>132034+470357</f>
        <v>602391</v>
      </c>
      <c r="U17" s="21">
        <v>701152</v>
      </c>
      <c r="V17" s="22">
        <f t="shared" si="2"/>
        <v>-98761</v>
      </c>
      <c r="W17" s="11">
        <f t="shared" si="3"/>
        <v>-14.085533521975265</v>
      </c>
      <c r="X17" s="16">
        <f>SUM(T17/T16*100)</f>
        <v>43.738174034645446</v>
      </c>
    </row>
    <row r="18" spans="1:24" s="3" customFormat="1" ht="15" customHeight="1">
      <c r="A18" s="453"/>
      <c r="B18" s="244"/>
      <c r="C18" s="258" t="s">
        <v>17</v>
      </c>
      <c r="D18" s="259"/>
      <c r="E18" s="260"/>
      <c r="F18" s="261"/>
      <c r="G18" s="41">
        <v>4534</v>
      </c>
      <c r="H18" s="40">
        <v>6462</v>
      </c>
      <c r="I18" s="18">
        <f t="shared" si="0"/>
        <v>-1928</v>
      </c>
      <c r="J18" s="11">
        <f t="shared" si="1"/>
        <v>-29.83596409780253</v>
      </c>
      <c r="K18" s="11">
        <f>SUM(G18/G16*100)</f>
        <v>25.530716819640748</v>
      </c>
      <c r="L18" s="192"/>
      <c r="M18" s="187"/>
      <c r="N18" s="453"/>
      <c r="O18" s="244"/>
      <c r="P18" s="258" t="s">
        <v>17</v>
      </c>
      <c r="Q18" s="259"/>
      <c r="R18" s="260"/>
      <c r="S18" s="261"/>
      <c r="T18" s="24">
        <v>211374</v>
      </c>
      <c r="U18" s="25">
        <v>288050</v>
      </c>
      <c r="V18" s="22">
        <f t="shared" si="2"/>
        <v>-76676</v>
      </c>
      <c r="W18" s="11">
        <f t="shared" si="3"/>
        <v>-26.61898975872245</v>
      </c>
      <c r="X18" s="16">
        <f>SUM(T18/T16*100)</f>
        <v>15.347362092725733</v>
      </c>
    </row>
    <row r="19" spans="1:24" s="3" customFormat="1" ht="15" customHeight="1">
      <c r="A19" s="62" t="s">
        <v>109</v>
      </c>
      <c r="B19" s="244"/>
      <c r="C19" s="258" t="s">
        <v>18</v>
      </c>
      <c r="D19" s="259"/>
      <c r="E19" s="260"/>
      <c r="F19" s="261"/>
      <c r="G19" s="41">
        <f>3401+981+629</f>
        <v>5011</v>
      </c>
      <c r="H19" s="40">
        <v>8416</v>
      </c>
      <c r="I19" s="18">
        <f t="shared" si="0"/>
        <v>-3405</v>
      </c>
      <c r="J19" s="11">
        <f t="shared" si="1"/>
        <v>-40.458650190114064</v>
      </c>
      <c r="K19" s="11">
        <f>SUM(G19/G16*100)</f>
        <v>28.216678867053325</v>
      </c>
      <c r="L19" s="192"/>
      <c r="M19" s="187"/>
      <c r="N19" s="62" t="s">
        <v>109</v>
      </c>
      <c r="O19" s="244"/>
      <c r="P19" s="258" t="s">
        <v>18</v>
      </c>
      <c r="Q19" s="259"/>
      <c r="R19" s="260"/>
      <c r="S19" s="261"/>
      <c r="T19" s="24">
        <f>165978+89339+85221</f>
        <v>340538</v>
      </c>
      <c r="U19" s="25">
        <v>442557</v>
      </c>
      <c r="V19" s="22">
        <f t="shared" si="2"/>
        <v>-102019</v>
      </c>
      <c r="W19" s="11">
        <f t="shared" si="3"/>
        <v>-23.05217181063682</v>
      </c>
      <c r="X19" s="16">
        <f>SUM(T19/T16*100)</f>
        <v>24.725652125297508</v>
      </c>
    </row>
    <row r="20" spans="1:24" s="3" customFormat="1" ht="15" customHeight="1">
      <c r="A20" s="98"/>
      <c r="B20" s="244"/>
      <c r="C20" s="255" t="s">
        <v>19</v>
      </c>
      <c r="D20" s="256"/>
      <c r="E20" s="262"/>
      <c r="F20" s="263"/>
      <c r="G20" s="39">
        <f>277+259</f>
        <v>536</v>
      </c>
      <c r="H20" s="17">
        <v>623</v>
      </c>
      <c r="I20" s="26">
        <f t="shared" si="0"/>
        <v>-87</v>
      </c>
      <c r="J20" s="27">
        <f t="shared" si="1"/>
        <v>-13.964686998394853</v>
      </c>
      <c r="K20" s="42">
        <f>SUM(G20/G16*100)</f>
        <v>3.018187961033842</v>
      </c>
      <c r="L20" s="192"/>
      <c r="M20" s="187"/>
      <c r="N20" s="98"/>
      <c r="O20" s="244"/>
      <c r="P20" s="255" t="s">
        <v>19</v>
      </c>
      <c r="Q20" s="256"/>
      <c r="R20" s="262"/>
      <c r="S20" s="263"/>
      <c r="T20" s="20">
        <f>47975+49441</f>
        <v>97416</v>
      </c>
      <c r="U20" s="21">
        <v>114342</v>
      </c>
      <c r="V20" s="43">
        <f t="shared" si="2"/>
        <v>-16926</v>
      </c>
      <c r="W20" s="27">
        <f t="shared" si="3"/>
        <v>-14.802959542425356</v>
      </c>
      <c r="X20" s="44">
        <f>SUM(T20/T16*100)</f>
        <v>7.073143459578614</v>
      </c>
    </row>
    <row r="21" spans="1:24" s="3" customFormat="1" ht="25.5" customHeight="1">
      <c r="A21" s="98"/>
      <c r="B21" s="244"/>
      <c r="C21" s="404" t="s">
        <v>22</v>
      </c>
      <c r="D21" s="405"/>
      <c r="E21" s="405"/>
      <c r="F21" s="406"/>
      <c r="G21" s="45">
        <f>SUM(G17:G20)</f>
        <v>16805</v>
      </c>
      <c r="H21" s="46">
        <f>SUM(H17:H20)</f>
        <v>21917</v>
      </c>
      <c r="I21" s="47">
        <f t="shared" si="0"/>
        <v>-5112</v>
      </c>
      <c r="J21" s="48">
        <f t="shared" si="1"/>
        <v>-23.324360085778167</v>
      </c>
      <c r="K21" s="49">
        <f>SUM(G21/G16*100)</f>
        <v>94.62807590517484</v>
      </c>
      <c r="L21" s="192"/>
      <c r="M21" s="187"/>
      <c r="N21" s="98"/>
      <c r="O21" s="244"/>
      <c r="P21" s="404" t="s">
        <v>22</v>
      </c>
      <c r="Q21" s="405"/>
      <c r="R21" s="405"/>
      <c r="S21" s="406"/>
      <c r="T21" s="50">
        <f>SUM(T17:T20)</f>
        <v>1251719</v>
      </c>
      <c r="U21" s="51">
        <f>SUM(U17:U20)</f>
        <v>1546101</v>
      </c>
      <c r="V21" s="52">
        <f t="shared" si="2"/>
        <v>-294382</v>
      </c>
      <c r="W21" s="49">
        <f t="shared" si="3"/>
        <v>-19.040282620604998</v>
      </c>
      <c r="X21" s="53">
        <f>SUM(T21/T16*100)</f>
        <v>90.88433171224732</v>
      </c>
    </row>
    <row r="22" spans="1:24" s="3" customFormat="1" ht="15" customHeight="1">
      <c r="A22" s="98"/>
      <c r="B22" s="244"/>
      <c r="C22" s="264" t="s">
        <v>20</v>
      </c>
      <c r="D22" s="265"/>
      <c r="E22" s="266"/>
      <c r="F22" s="267"/>
      <c r="G22" s="54">
        <f>249+166+258</f>
        <v>673</v>
      </c>
      <c r="H22" s="55">
        <v>662</v>
      </c>
      <c r="I22" s="26">
        <f t="shared" si="0"/>
        <v>11</v>
      </c>
      <c r="J22" s="27">
        <f t="shared" si="1"/>
        <v>1.6616314199395816</v>
      </c>
      <c r="K22" s="6">
        <f>SUM(G22/G16*100)</f>
        <v>3.78962779435779</v>
      </c>
      <c r="L22" s="192"/>
      <c r="M22" s="187"/>
      <c r="N22" s="98"/>
      <c r="O22" s="244"/>
      <c r="P22" s="264" t="s">
        <v>20</v>
      </c>
      <c r="Q22" s="265"/>
      <c r="R22" s="266"/>
      <c r="S22" s="267"/>
      <c r="T22" s="56">
        <f>43676+23344+23181</f>
        <v>90201</v>
      </c>
      <c r="U22" s="57">
        <v>99905</v>
      </c>
      <c r="V22" s="43">
        <f t="shared" si="2"/>
        <v>-9704</v>
      </c>
      <c r="W22" s="27">
        <f t="shared" si="3"/>
        <v>-9.713227566187882</v>
      </c>
      <c r="X22" s="9">
        <f>SUM(T22/T16*100)</f>
        <v>6.549279514632612</v>
      </c>
    </row>
    <row r="23" spans="1:24" s="3" customFormat="1" ht="15" customHeight="1">
      <c r="A23" s="98"/>
      <c r="B23" s="244"/>
      <c r="C23" s="258" t="s">
        <v>21</v>
      </c>
      <c r="D23" s="259"/>
      <c r="E23" s="260"/>
      <c r="F23" s="261"/>
      <c r="G23" s="41">
        <v>156</v>
      </c>
      <c r="H23" s="40">
        <v>204</v>
      </c>
      <c r="I23" s="18">
        <f t="shared" si="0"/>
        <v>-48</v>
      </c>
      <c r="J23" s="11">
        <f t="shared" si="1"/>
        <v>-23.529411764705884</v>
      </c>
      <c r="K23" s="11">
        <f>SUM(G23/G16*100)</f>
        <v>0.878427839405372</v>
      </c>
      <c r="L23" s="192"/>
      <c r="M23" s="187"/>
      <c r="N23" s="98"/>
      <c r="O23" s="244"/>
      <c r="P23" s="258" t="s">
        <v>21</v>
      </c>
      <c r="Q23" s="259"/>
      <c r="R23" s="260"/>
      <c r="S23" s="261"/>
      <c r="T23" s="58">
        <v>18346</v>
      </c>
      <c r="U23" s="59">
        <v>18212</v>
      </c>
      <c r="V23" s="22">
        <f t="shared" si="2"/>
        <v>134</v>
      </c>
      <c r="W23" s="11">
        <f t="shared" si="3"/>
        <v>0.7357786075115342</v>
      </c>
      <c r="X23" s="16">
        <f>SUM(T23/T16*100)</f>
        <v>1.3320593117088493</v>
      </c>
    </row>
    <row r="24" spans="1:24" s="3" customFormat="1" ht="15" customHeight="1">
      <c r="A24" s="98"/>
      <c r="B24" s="244"/>
      <c r="C24" s="258" t="s">
        <v>35</v>
      </c>
      <c r="D24" s="259"/>
      <c r="E24" s="260"/>
      <c r="F24" s="268"/>
      <c r="G24" s="41">
        <v>98</v>
      </c>
      <c r="H24" s="40">
        <v>89</v>
      </c>
      <c r="I24" s="18">
        <f t="shared" si="0"/>
        <v>9</v>
      </c>
      <c r="J24" s="11">
        <f t="shared" si="1"/>
        <v>10.112359550561806</v>
      </c>
      <c r="K24" s="11">
        <f>SUM(G24/G16*100)</f>
        <v>0.5518328734726055</v>
      </c>
      <c r="L24" s="192"/>
      <c r="M24" s="187"/>
      <c r="N24" s="98"/>
      <c r="O24" s="244"/>
      <c r="P24" s="258" t="s">
        <v>35</v>
      </c>
      <c r="Q24" s="259"/>
      <c r="R24" s="260"/>
      <c r="S24" s="268"/>
      <c r="T24" s="58">
        <v>10451</v>
      </c>
      <c r="U24" s="59">
        <v>9289</v>
      </c>
      <c r="V24" s="22">
        <f t="shared" si="2"/>
        <v>1162</v>
      </c>
      <c r="W24" s="11">
        <f t="shared" si="3"/>
        <v>12.50941974378297</v>
      </c>
      <c r="X24" s="16">
        <f>SUM(T24/T16*100)</f>
        <v>0.7588221883063984</v>
      </c>
    </row>
    <row r="25" spans="1:24" s="3" customFormat="1" ht="15" customHeight="1">
      <c r="A25" s="98"/>
      <c r="B25" s="244"/>
      <c r="C25" s="435" t="s">
        <v>5</v>
      </c>
      <c r="D25" s="436"/>
      <c r="E25" s="436"/>
      <c r="F25" s="437"/>
      <c r="G25" s="60">
        <f>18+5+4</f>
        <v>27</v>
      </c>
      <c r="H25" s="61">
        <v>34</v>
      </c>
      <c r="I25" s="26">
        <f t="shared" si="0"/>
        <v>-7</v>
      </c>
      <c r="J25" s="27">
        <f t="shared" si="1"/>
        <v>-20.588235294117652</v>
      </c>
      <c r="K25" s="42">
        <f>SUM(G25/G16*100)</f>
        <v>0.15203558758939129</v>
      </c>
      <c r="L25" s="192"/>
      <c r="M25" s="187"/>
      <c r="N25" s="98"/>
      <c r="O25" s="244"/>
      <c r="P25" s="435" t="s">
        <v>5</v>
      </c>
      <c r="Q25" s="436"/>
      <c r="R25" s="436"/>
      <c r="S25" s="437"/>
      <c r="T25" s="62">
        <f>4722+896+931</f>
        <v>6549</v>
      </c>
      <c r="U25" s="63">
        <v>5577</v>
      </c>
      <c r="V25" s="43">
        <f t="shared" si="2"/>
        <v>972</v>
      </c>
      <c r="W25" s="27">
        <f t="shared" si="3"/>
        <v>17.428725121032812</v>
      </c>
      <c r="X25" s="44">
        <f>SUM(T25/T16*100)</f>
        <v>0.4755072731048323</v>
      </c>
    </row>
    <row r="26" spans="1:24" s="3" customFormat="1" ht="25.5" customHeight="1" thickBot="1">
      <c r="A26" s="271"/>
      <c r="B26" s="272"/>
      <c r="C26" s="441" t="s">
        <v>22</v>
      </c>
      <c r="D26" s="442"/>
      <c r="E26" s="442"/>
      <c r="F26" s="443"/>
      <c r="G26" s="64">
        <f>SUM(G22:G25)</f>
        <v>954</v>
      </c>
      <c r="H26" s="65">
        <f>SUM(H22:H25)</f>
        <v>989</v>
      </c>
      <c r="I26" s="66">
        <f t="shared" si="0"/>
        <v>-35</v>
      </c>
      <c r="J26" s="67">
        <f t="shared" si="1"/>
        <v>-3.5389282103134576</v>
      </c>
      <c r="K26" s="6">
        <f>SUM(G26/G16*100)</f>
        <v>5.371924094825159</v>
      </c>
      <c r="L26" s="192"/>
      <c r="M26" s="187"/>
      <c r="N26" s="271"/>
      <c r="O26" s="272"/>
      <c r="P26" s="441" t="s">
        <v>22</v>
      </c>
      <c r="Q26" s="442"/>
      <c r="R26" s="442"/>
      <c r="S26" s="443"/>
      <c r="T26" s="68">
        <f>SUM(T22:T25)</f>
        <v>125547</v>
      </c>
      <c r="U26" s="69">
        <f>SUM(U22:U25)</f>
        <v>132983</v>
      </c>
      <c r="V26" s="70">
        <f t="shared" si="2"/>
        <v>-7436</v>
      </c>
      <c r="W26" s="71">
        <f t="shared" si="3"/>
        <v>-5.591692171179773</v>
      </c>
      <c r="X26" s="9">
        <f>SUM(T26/T16*100)</f>
        <v>9.115668287752692</v>
      </c>
    </row>
    <row r="27" spans="1:24" s="3" customFormat="1" ht="25.5" customHeight="1" thickTop="1">
      <c r="A27" s="456" t="s">
        <v>99</v>
      </c>
      <c r="B27" s="356" t="s">
        <v>3</v>
      </c>
      <c r="C27" s="357"/>
      <c r="D27" s="358"/>
      <c r="E27" s="359"/>
      <c r="F27" s="360"/>
      <c r="G27" s="29">
        <v>17759</v>
      </c>
      <c r="H27" s="72">
        <v>22906</v>
      </c>
      <c r="I27" s="4">
        <f t="shared" si="0"/>
        <v>-5147</v>
      </c>
      <c r="J27" s="73">
        <f t="shared" si="1"/>
        <v>-22.470095171570776</v>
      </c>
      <c r="K27" s="74">
        <f>SUM(G27/G27*100)</f>
        <v>100</v>
      </c>
      <c r="L27" s="192"/>
      <c r="M27" s="187"/>
      <c r="N27" s="456" t="s">
        <v>99</v>
      </c>
      <c r="O27" s="356" t="s">
        <v>3</v>
      </c>
      <c r="P27" s="357"/>
      <c r="Q27" s="358"/>
      <c r="R27" s="359"/>
      <c r="S27" s="360"/>
      <c r="T27" s="75">
        <v>1377266</v>
      </c>
      <c r="U27" s="76">
        <v>1679084</v>
      </c>
      <c r="V27" s="8">
        <f t="shared" si="2"/>
        <v>-301818</v>
      </c>
      <c r="W27" s="5">
        <f t="shared" si="3"/>
        <v>-17.975157883703247</v>
      </c>
      <c r="X27" s="77">
        <f>SUM(T27/T27*100)</f>
        <v>100</v>
      </c>
    </row>
    <row r="28" spans="1:24" s="3" customFormat="1" ht="25.5" customHeight="1">
      <c r="A28" s="457"/>
      <c r="B28" s="244"/>
      <c r="C28" s="384" t="s">
        <v>51</v>
      </c>
      <c r="D28" s="385"/>
      <c r="E28" s="385"/>
      <c r="F28" s="386"/>
      <c r="G28" s="39">
        <v>17102</v>
      </c>
      <c r="H28" s="17">
        <v>22125</v>
      </c>
      <c r="I28" s="18">
        <f t="shared" si="0"/>
        <v>-5023</v>
      </c>
      <c r="J28" s="11">
        <f t="shared" si="1"/>
        <v>-22.70282485875707</v>
      </c>
      <c r="K28" s="11">
        <f>SUM(G28/G27*100)</f>
        <v>96.30046736865815</v>
      </c>
      <c r="L28" s="192"/>
      <c r="M28" s="187"/>
      <c r="N28" s="457"/>
      <c r="O28" s="244"/>
      <c r="P28" s="384" t="s">
        <v>51</v>
      </c>
      <c r="Q28" s="385"/>
      <c r="R28" s="385"/>
      <c r="S28" s="386"/>
      <c r="T28" s="20">
        <v>1245232</v>
      </c>
      <c r="U28" s="21">
        <v>1506576</v>
      </c>
      <c r="V28" s="22">
        <f t="shared" si="2"/>
        <v>-261344</v>
      </c>
      <c r="W28" s="11">
        <f t="shared" si="3"/>
        <v>-17.346884591285132</v>
      </c>
      <c r="X28" s="16">
        <f>SUM(T28/T27*100)</f>
        <v>90.41332611129586</v>
      </c>
    </row>
    <row r="29" spans="1:24" s="3" customFormat="1" ht="25.5" customHeight="1">
      <c r="A29" s="273" t="s">
        <v>13</v>
      </c>
      <c r="B29" s="244"/>
      <c r="C29" s="274"/>
      <c r="D29" s="256" t="s">
        <v>52</v>
      </c>
      <c r="E29" s="256"/>
      <c r="F29" s="257"/>
      <c r="G29" s="39">
        <v>15818</v>
      </c>
      <c r="H29" s="17">
        <v>20606</v>
      </c>
      <c r="I29" s="18">
        <f t="shared" si="0"/>
        <v>-4788</v>
      </c>
      <c r="J29" s="11">
        <f t="shared" si="1"/>
        <v>-23.235950693972626</v>
      </c>
      <c r="K29" s="11">
        <f>SUM(G29/G27*100)</f>
        <v>89.07033053662931</v>
      </c>
      <c r="L29" s="192"/>
      <c r="M29" s="187"/>
      <c r="N29" s="273" t="s">
        <v>13</v>
      </c>
      <c r="O29" s="244"/>
      <c r="P29" s="274"/>
      <c r="Q29" s="256" t="s">
        <v>52</v>
      </c>
      <c r="R29" s="256"/>
      <c r="S29" s="257"/>
      <c r="T29" s="20">
        <v>990465</v>
      </c>
      <c r="U29" s="21">
        <v>1180496</v>
      </c>
      <c r="V29" s="22">
        <f t="shared" si="2"/>
        <v>-190031</v>
      </c>
      <c r="W29" s="11">
        <f t="shared" si="3"/>
        <v>-16.097555603746216</v>
      </c>
      <c r="X29" s="16">
        <f>SUM(T29/T27*100)</f>
        <v>71.91530176451026</v>
      </c>
    </row>
    <row r="30" spans="1:24" s="3" customFormat="1" ht="25.5" customHeight="1">
      <c r="A30" s="273"/>
      <c r="B30" s="244"/>
      <c r="C30" s="274"/>
      <c r="D30" s="274"/>
      <c r="E30" s="260" t="s">
        <v>118</v>
      </c>
      <c r="F30" s="261"/>
      <c r="G30" s="41">
        <v>14951</v>
      </c>
      <c r="H30" s="40">
        <v>19658</v>
      </c>
      <c r="I30" s="18">
        <f t="shared" si="0"/>
        <v>-4707</v>
      </c>
      <c r="J30" s="11">
        <f t="shared" si="1"/>
        <v>-23.94445009665276</v>
      </c>
      <c r="K30" s="11">
        <f>SUM(G30/G27*100)</f>
        <v>84.18829889070331</v>
      </c>
      <c r="L30" s="192"/>
      <c r="M30" s="187"/>
      <c r="N30" s="273" t="s">
        <v>41</v>
      </c>
      <c r="O30" s="244"/>
      <c r="P30" s="274"/>
      <c r="Q30" s="274"/>
      <c r="R30" s="260" t="s">
        <v>118</v>
      </c>
      <c r="S30" s="261"/>
      <c r="T30" s="24">
        <v>626598</v>
      </c>
      <c r="U30" s="25">
        <v>772853</v>
      </c>
      <c r="V30" s="22">
        <f t="shared" si="2"/>
        <v>-146255</v>
      </c>
      <c r="W30" s="11">
        <f t="shared" si="3"/>
        <v>-18.924038594661596</v>
      </c>
      <c r="X30" s="16">
        <f>SUM(T30/T27*100)</f>
        <v>45.49578658007967</v>
      </c>
    </row>
    <row r="31" spans="1:24" s="3" customFormat="1" ht="25.5" customHeight="1">
      <c r="A31" s="273"/>
      <c r="B31" s="244"/>
      <c r="C31" s="274"/>
      <c r="D31" s="274"/>
      <c r="E31" s="262" t="s">
        <v>119</v>
      </c>
      <c r="F31" s="263"/>
      <c r="G31" s="39">
        <v>419</v>
      </c>
      <c r="H31" s="17">
        <v>432</v>
      </c>
      <c r="I31" s="18">
        <f t="shared" si="0"/>
        <v>-13</v>
      </c>
      <c r="J31" s="11">
        <f t="shared" si="1"/>
        <v>-3.0092592592592524</v>
      </c>
      <c r="K31" s="11">
        <f>SUM(G31/G27*100)</f>
        <v>2.359367081479813</v>
      </c>
      <c r="L31" s="192"/>
      <c r="M31" s="187"/>
      <c r="N31" s="273"/>
      <c r="O31" s="244"/>
      <c r="P31" s="274"/>
      <c r="Q31" s="274"/>
      <c r="R31" s="262" t="s">
        <v>119</v>
      </c>
      <c r="S31" s="263"/>
      <c r="T31" s="20">
        <v>123636</v>
      </c>
      <c r="U31" s="21">
        <v>135928</v>
      </c>
      <c r="V31" s="78">
        <f t="shared" si="2"/>
        <v>-12292</v>
      </c>
      <c r="W31" s="19">
        <f t="shared" si="3"/>
        <v>-9.043022776764161</v>
      </c>
      <c r="X31" s="16">
        <f>SUM(T31/T27*100)</f>
        <v>8.976915134766996</v>
      </c>
    </row>
    <row r="32" spans="1:24" s="3" customFormat="1" ht="25.5" customHeight="1">
      <c r="A32" s="273"/>
      <c r="B32" s="244"/>
      <c r="C32" s="274"/>
      <c r="D32" s="275"/>
      <c r="E32" s="262" t="s">
        <v>75</v>
      </c>
      <c r="F32" s="263"/>
      <c r="G32" s="39">
        <v>158</v>
      </c>
      <c r="H32" s="17">
        <v>166</v>
      </c>
      <c r="I32" s="18">
        <f t="shared" si="0"/>
        <v>-8</v>
      </c>
      <c r="J32" s="11">
        <f t="shared" si="1"/>
        <v>-4.819277108433738</v>
      </c>
      <c r="K32" s="11">
        <f>SUM(G32/G27*100)</f>
        <v>0.8896897347823639</v>
      </c>
      <c r="L32" s="192"/>
      <c r="M32" s="187"/>
      <c r="N32" s="273"/>
      <c r="O32" s="244"/>
      <c r="P32" s="274"/>
      <c r="Q32" s="275"/>
      <c r="R32" s="262" t="s">
        <v>75</v>
      </c>
      <c r="S32" s="263"/>
      <c r="T32" s="20">
        <v>77279</v>
      </c>
      <c r="U32" s="21">
        <v>81379</v>
      </c>
      <c r="V32" s="78">
        <f t="shared" si="2"/>
        <v>-4100</v>
      </c>
      <c r="W32" s="19">
        <f t="shared" si="3"/>
        <v>-5.03815480652257</v>
      </c>
      <c r="X32" s="16">
        <f>SUM(T32/T27*100)</f>
        <v>5.611043908729323</v>
      </c>
    </row>
    <row r="33" spans="1:24" s="3" customFormat="1" ht="25.5" customHeight="1" thickBot="1">
      <c r="A33" s="271"/>
      <c r="B33" s="272"/>
      <c r="C33" s="276"/>
      <c r="D33" s="449" t="s">
        <v>122</v>
      </c>
      <c r="E33" s="454"/>
      <c r="F33" s="455"/>
      <c r="G33" s="79">
        <v>1284</v>
      </c>
      <c r="H33" s="80">
        <v>1519</v>
      </c>
      <c r="I33" s="81">
        <f t="shared" si="0"/>
        <v>-235</v>
      </c>
      <c r="J33" s="82">
        <f t="shared" si="1"/>
        <v>-15.470704410796571</v>
      </c>
      <c r="K33" s="82">
        <f>SUM(G33/G27*100)</f>
        <v>7.23013683202883</v>
      </c>
      <c r="L33" s="192"/>
      <c r="M33" s="187"/>
      <c r="N33" s="271"/>
      <c r="O33" s="272"/>
      <c r="P33" s="276"/>
      <c r="Q33" s="449" t="s">
        <v>122</v>
      </c>
      <c r="R33" s="450"/>
      <c r="S33" s="451"/>
      <c r="T33" s="83">
        <v>254767</v>
      </c>
      <c r="U33" s="84">
        <v>326080</v>
      </c>
      <c r="V33" s="85">
        <f t="shared" si="2"/>
        <v>-71313</v>
      </c>
      <c r="W33" s="82">
        <f t="shared" si="3"/>
        <v>-21.86978655544651</v>
      </c>
      <c r="X33" s="86">
        <f>SUM(T33/T27*100)</f>
        <v>18.498024346785588</v>
      </c>
    </row>
    <row r="34" spans="1:24" s="3" customFormat="1" ht="25.5" customHeight="1" thickTop="1">
      <c r="A34" s="387" t="s">
        <v>100</v>
      </c>
      <c r="B34" s="356" t="s">
        <v>3</v>
      </c>
      <c r="C34" s="357"/>
      <c r="D34" s="358"/>
      <c r="E34" s="359"/>
      <c r="F34" s="360"/>
      <c r="G34" s="29">
        <v>17759</v>
      </c>
      <c r="H34" s="72">
        <v>22906</v>
      </c>
      <c r="I34" s="4">
        <f t="shared" si="0"/>
        <v>-5147</v>
      </c>
      <c r="J34" s="73">
        <f t="shared" si="1"/>
        <v>-22.470095171570776</v>
      </c>
      <c r="K34" s="27">
        <f>SUM(G34/G34*100)</f>
        <v>100</v>
      </c>
      <c r="L34" s="192"/>
      <c r="M34" s="187"/>
      <c r="N34" s="387" t="s">
        <v>100</v>
      </c>
      <c r="O34" s="356" t="s">
        <v>3</v>
      </c>
      <c r="P34" s="357"/>
      <c r="Q34" s="358"/>
      <c r="R34" s="359"/>
      <c r="S34" s="360"/>
      <c r="T34" s="75">
        <v>1377266</v>
      </c>
      <c r="U34" s="76">
        <v>1679084</v>
      </c>
      <c r="V34" s="8">
        <f t="shared" si="2"/>
        <v>-301818</v>
      </c>
      <c r="W34" s="5">
        <f t="shared" si="3"/>
        <v>-17.975157883703247</v>
      </c>
      <c r="X34" s="28">
        <f>SUM(T34/T34*100)</f>
        <v>100</v>
      </c>
    </row>
    <row r="35" spans="1:24" s="3" customFormat="1" ht="25.5" customHeight="1">
      <c r="A35" s="388"/>
      <c r="B35" s="244"/>
      <c r="C35" s="384" t="s">
        <v>76</v>
      </c>
      <c r="D35" s="385"/>
      <c r="E35" s="385"/>
      <c r="F35" s="386"/>
      <c r="G35" s="39">
        <v>16132</v>
      </c>
      <c r="H35" s="17">
        <v>21153</v>
      </c>
      <c r="I35" s="18">
        <f t="shared" si="0"/>
        <v>-5021</v>
      </c>
      <c r="J35" s="11">
        <f t="shared" si="1"/>
        <v>-23.736585827069447</v>
      </c>
      <c r="K35" s="11">
        <f>SUM(G35/G34*100)</f>
        <v>90.83844811081705</v>
      </c>
      <c r="L35" s="192"/>
      <c r="M35" s="187"/>
      <c r="N35" s="388"/>
      <c r="O35" s="244"/>
      <c r="P35" s="384" t="s">
        <v>76</v>
      </c>
      <c r="Q35" s="385"/>
      <c r="R35" s="385"/>
      <c r="S35" s="386"/>
      <c r="T35" s="20">
        <v>910722</v>
      </c>
      <c r="U35" s="21">
        <v>1108395</v>
      </c>
      <c r="V35" s="22">
        <f t="shared" si="2"/>
        <v>-197673</v>
      </c>
      <c r="W35" s="11">
        <f t="shared" si="3"/>
        <v>-17.834165617852832</v>
      </c>
      <c r="X35" s="16">
        <f>SUM(T35/T34*100)</f>
        <v>66.12535269149168</v>
      </c>
    </row>
    <row r="36" spans="1:24" s="3" customFormat="1" ht="25.5" customHeight="1">
      <c r="A36" s="273" t="s">
        <v>13</v>
      </c>
      <c r="B36" s="244"/>
      <c r="C36" s="255" t="s">
        <v>77</v>
      </c>
      <c r="D36" s="256"/>
      <c r="E36" s="256"/>
      <c r="F36" s="257"/>
      <c r="G36" s="39">
        <v>2207</v>
      </c>
      <c r="H36" s="17">
        <v>2773</v>
      </c>
      <c r="I36" s="18">
        <f t="shared" si="0"/>
        <v>-566</v>
      </c>
      <c r="J36" s="11">
        <f t="shared" si="1"/>
        <v>-20.411107104219255</v>
      </c>
      <c r="K36" s="11">
        <f>SUM(G36/G34*100)</f>
        <v>12.427501548510614</v>
      </c>
      <c r="L36" s="192"/>
      <c r="M36" s="187"/>
      <c r="N36" s="273" t="s">
        <v>13</v>
      </c>
      <c r="O36" s="244"/>
      <c r="P36" s="255" t="s">
        <v>77</v>
      </c>
      <c r="Q36" s="256"/>
      <c r="R36" s="256"/>
      <c r="S36" s="257"/>
      <c r="T36" s="20">
        <v>236655</v>
      </c>
      <c r="U36" s="21">
        <v>329122</v>
      </c>
      <c r="V36" s="22">
        <f t="shared" si="2"/>
        <v>-92467</v>
      </c>
      <c r="W36" s="11">
        <f t="shared" si="3"/>
        <v>-28.095052898317334</v>
      </c>
      <c r="X36" s="16">
        <f>SUM(T36/T34*100)</f>
        <v>17.182955217074987</v>
      </c>
    </row>
    <row r="37" spans="1:24" s="3" customFormat="1" ht="25.5" customHeight="1">
      <c r="A37" s="273" t="s">
        <v>41</v>
      </c>
      <c r="B37" s="244"/>
      <c r="C37" s="258" t="s">
        <v>78</v>
      </c>
      <c r="D37" s="259"/>
      <c r="E37" s="260"/>
      <c r="F37" s="261"/>
      <c r="G37" s="41">
        <v>566</v>
      </c>
      <c r="H37" s="40">
        <v>617</v>
      </c>
      <c r="I37" s="18">
        <f t="shared" si="0"/>
        <v>-51</v>
      </c>
      <c r="J37" s="11">
        <f t="shared" si="1"/>
        <v>-8.26580226904376</v>
      </c>
      <c r="K37" s="11">
        <f>SUM(G37/G34*100)</f>
        <v>3.187116391688721</v>
      </c>
      <c r="L37" s="192"/>
      <c r="M37" s="187"/>
      <c r="N37" s="273" t="s">
        <v>41</v>
      </c>
      <c r="O37" s="244"/>
      <c r="P37" s="258" t="s">
        <v>78</v>
      </c>
      <c r="Q37" s="259"/>
      <c r="R37" s="260"/>
      <c r="S37" s="261"/>
      <c r="T37" s="24">
        <v>137090</v>
      </c>
      <c r="U37" s="25">
        <v>155992</v>
      </c>
      <c r="V37" s="22">
        <f t="shared" si="2"/>
        <v>-18902</v>
      </c>
      <c r="W37" s="11">
        <f t="shared" si="3"/>
        <v>-12.11728806605467</v>
      </c>
      <c r="X37" s="16">
        <f>SUM(T37/T34*100)</f>
        <v>9.953777992050918</v>
      </c>
    </row>
    <row r="38" spans="1:24" s="3" customFormat="1" ht="25.5" customHeight="1">
      <c r="A38" s="273"/>
      <c r="B38" s="244"/>
      <c r="C38" s="255" t="s">
        <v>79</v>
      </c>
      <c r="D38" s="256"/>
      <c r="E38" s="262"/>
      <c r="F38" s="263"/>
      <c r="G38" s="39">
        <v>497</v>
      </c>
      <c r="H38" s="17">
        <v>471</v>
      </c>
      <c r="I38" s="18">
        <f>SUM(G38-H38)</f>
        <v>26</v>
      </c>
      <c r="J38" s="11">
        <f>SUM(G38/H38*100)-100</f>
        <v>5.520169851380047</v>
      </c>
      <c r="K38" s="11">
        <f>SUM(G38/G34*100)</f>
        <v>2.798581001182499</v>
      </c>
      <c r="L38" s="192"/>
      <c r="M38" s="187"/>
      <c r="N38" s="273"/>
      <c r="O38" s="244"/>
      <c r="P38" s="255" t="s">
        <v>79</v>
      </c>
      <c r="Q38" s="256"/>
      <c r="R38" s="262"/>
      <c r="S38" s="263"/>
      <c r="T38" s="20">
        <v>104684</v>
      </c>
      <c r="U38" s="21">
        <v>106737</v>
      </c>
      <c r="V38" s="22">
        <f>SUM(T38-U38)</f>
        <v>-2053</v>
      </c>
      <c r="W38" s="11">
        <f>SUM(T38/U38*100)-100</f>
        <v>-1.923419245435042</v>
      </c>
      <c r="X38" s="16">
        <f>SUM(T38/T34*100)</f>
        <v>7.600855608139605</v>
      </c>
    </row>
    <row r="39" spans="1:24" s="3" customFormat="1" ht="25.5" customHeight="1" thickBot="1">
      <c r="A39" s="271"/>
      <c r="B39" s="272"/>
      <c r="C39" s="280" t="s">
        <v>40</v>
      </c>
      <c r="D39" s="277"/>
      <c r="E39" s="278"/>
      <c r="F39" s="279"/>
      <c r="G39" s="79">
        <v>345</v>
      </c>
      <c r="H39" s="80">
        <v>135</v>
      </c>
      <c r="I39" s="81">
        <f>SUM(G39-H39)</f>
        <v>210</v>
      </c>
      <c r="J39" s="82">
        <f>SUM(G39/H39*100)-100</f>
        <v>155.55555555555554</v>
      </c>
      <c r="K39" s="82">
        <f>SUM(G39/G34*100)</f>
        <v>1.942676952531111</v>
      </c>
      <c r="L39" s="192"/>
      <c r="M39" s="187"/>
      <c r="N39" s="281"/>
      <c r="O39" s="282"/>
      <c r="P39" s="283" t="s">
        <v>40</v>
      </c>
      <c r="Q39" s="284"/>
      <c r="R39" s="285"/>
      <c r="S39" s="286"/>
      <c r="T39" s="204">
        <v>34944</v>
      </c>
      <c r="U39" s="205">
        <v>24095</v>
      </c>
      <c r="V39" s="206">
        <f>SUM(T39-U39)</f>
        <v>10849</v>
      </c>
      <c r="W39" s="207">
        <f>SUM(T39/U39*100)-100</f>
        <v>45.02593899149201</v>
      </c>
      <c r="X39" s="203">
        <f>SUM(T39/T34*100)</f>
        <v>2.5372005117384733</v>
      </c>
    </row>
    <row r="40" spans="1:24" s="3" customFormat="1" ht="25.5" customHeight="1" thickTop="1">
      <c r="A40" s="168" t="s">
        <v>129</v>
      </c>
      <c r="B40" s="287"/>
      <c r="C40" s="288"/>
      <c r="D40" s="289"/>
      <c r="E40" s="289"/>
      <c r="F40" s="289"/>
      <c r="G40" s="87"/>
      <c r="H40" s="87"/>
      <c r="I40" s="88"/>
      <c r="J40" s="89"/>
      <c r="K40" s="89"/>
      <c r="L40" s="89"/>
      <c r="M40" s="89"/>
      <c r="N40" s="168" t="s">
        <v>129</v>
      </c>
      <c r="O40" s="89"/>
      <c r="P40" s="89"/>
      <c r="Q40" s="89"/>
      <c r="R40" s="89"/>
      <c r="S40" s="89"/>
      <c r="T40" s="90"/>
      <c r="U40" s="90"/>
      <c r="V40" s="91"/>
      <c r="W40" s="89"/>
      <c r="X40" s="89"/>
    </row>
    <row r="41" spans="1:24" s="3" customFormat="1" ht="25.5" customHeight="1">
      <c r="A41" s="168" t="s">
        <v>59</v>
      </c>
      <c r="B41" s="287"/>
      <c r="C41" s="288"/>
      <c r="D41" s="289"/>
      <c r="E41" s="289"/>
      <c r="F41" s="289"/>
      <c r="G41" s="87"/>
      <c r="H41" s="87"/>
      <c r="I41" s="88"/>
      <c r="J41" s="89"/>
      <c r="K41" s="89"/>
      <c r="L41" s="89"/>
      <c r="M41" s="89"/>
      <c r="N41" s="168" t="s">
        <v>59</v>
      </c>
      <c r="O41" s="89"/>
      <c r="P41" s="89"/>
      <c r="Q41" s="89"/>
      <c r="R41" s="89"/>
      <c r="S41" s="89"/>
      <c r="T41" s="90"/>
      <c r="U41" s="90"/>
      <c r="V41" s="91"/>
      <c r="W41" s="91"/>
      <c r="X41" s="89"/>
    </row>
    <row r="42" spans="1:24" s="3" customFormat="1" ht="30" customHeight="1">
      <c r="A42" s="428" t="s">
        <v>126</v>
      </c>
      <c r="B42" s="429"/>
      <c r="C42" s="429"/>
      <c r="D42" s="429"/>
      <c r="E42" s="429"/>
      <c r="F42" s="429"/>
      <c r="G42" s="429"/>
      <c r="H42" s="429"/>
      <c r="I42" s="429"/>
      <c r="J42" s="429"/>
      <c r="K42" s="429"/>
      <c r="L42" s="161"/>
      <c r="M42" s="161"/>
      <c r="N42" s="428" t="s">
        <v>132</v>
      </c>
      <c r="O42" s="429"/>
      <c r="P42" s="429"/>
      <c r="Q42" s="429"/>
      <c r="R42" s="429"/>
      <c r="S42" s="429"/>
      <c r="T42" s="429"/>
      <c r="U42" s="429"/>
      <c r="V42" s="429"/>
      <c r="W42" s="429"/>
      <c r="X42" s="429"/>
    </row>
    <row r="43" spans="1:24" s="3" customFormat="1" ht="27" customHeight="1" thickBot="1">
      <c r="A43" s="217"/>
      <c r="B43" s="217"/>
      <c r="C43" s="217"/>
      <c r="D43" s="217"/>
      <c r="E43" s="217"/>
      <c r="F43" s="217"/>
      <c r="G43" s="162"/>
      <c r="H43" s="162"/>
      <c r="I43" s="162"/>
      <c r="J43" s="162"/>
      <c r="K43" s="163" t="s">
        <v>127</v>
      </c>
      <c r="L43" s="163"/>
      <c r="M43" s="162"/>
      <c r="N43" s="162"/>
      <c r="O43" s="162"/>
      <c r="P43" s="162"/>
      <c r="Q43" s="162"/>
      <c r="R43" s="162"/>
      <c r="S43" s="162"/>
      <c r="T43" s="162"/>
      <c r="U43" s="162"/>
      <c r="V43" s="164"/>
      <c r="W43" s="164"/>
      <c r="X43" s="163" t="s">
        <v>127</v>
      </c>
    </row>
    <row r="44" spans="1:24" s="3" customFormat="1" ht="22.5" customHeight="1">
      <c r="A44" s="380" t="s">
        <v>113</v>
      </c>
      <c r="B44" s="381"/>
      <c r="C44" s="381"/>
      <c r="D44" s="381"/>
      <c r="E44" s="381"/>
      <c r="F44" s="381"/>
      <c r="G44" s="377" t="s">
        <v>90</v>
      </c>
      <c r="H44" s="378"/>
      <c r="I44" s="378"/>
      <c r="J44" s="378"/>
      <c r="K44" s="378"/>
      <c r="L44" s="197"/>
      <c r="M44" s="188"/>
      <c r="N44" s="380" t="s">
        <v>113</v>
      </c>
      <c r="O44" s="381"/>
      <c r="P44" s="381"/>
      <c r="Q44" s="381"/>
      <c r="R44" s="381"/>
      <c r="S44" s="381"/>
      <c r="T44" s="377" t="s">
        <v>97</v>
      </c>
      <c r="U44" s="378"/>
      <c r="V44" s="378"/>
      <c r="W44" s="378"/>
      <c r="X44" s="379"/>
    </row>
    <row r="45" spans="1:24" s="3" customFormat="1" ht="22.5" customHeight="1">
      <c r="A45" s="382"/>
      <c r="B45" s="383"/>
      <c r="C45" s="383"/>
      <c r="D45" s="383"/>
      <c r="E45" s="383"/>
      <c r="F45" s="383"/>
      <c r="G45" s="92" t="s">
        <v>130</v>
      </c>
      <c r="H45" s="93" t="s">
        <v>128</v>
      </c>
      <c r="I45" s="94" t="s">
        <v>33</v>
      </c>
      <c r="J45" s="94" t="s">
        <v>23</v>
      </c>
      <c r="K45" s="94" t="s">
        <v>57</v>
      </c>
      <c r="L45" s="191"/>
      <c r="M45" s="189"/>
      <c r="N45" s="382"/>
      <c r="O45" s="383"/>
      <c r="P45" s="383"/>
      <c r="Q45" s="383"/>
      <c r="R45" s="383"/>
      <c r="S45" s="383"/>
      <c r="T45" s="92" t="s">
        <v>130</v>
      </c>
      <c r="U45" s="93" t="s">
        <v>128</v>
      </c>
      <c r="V45" s="94" t="s">
        <v>33</v>
      </c>
      <c r="W45" s="94" t="s">
        <v>23</v>
      </c>
      <c r="X45" s="166" t="s">
        <v>57</v>
      </c>
    </row>
    <row r="46" spans="1:24" s="3" customFormat="1" ht="24.75" customHeight="1" thickBot="1">
      <c r="A46" s="368" t="s">
        <v>107</v>
      </c>
      <c r="B46" s="369"/>
      <c r="C46" s="369"/>
      <c r="D46" s="369"/>
      <c r="E46" s="369"/>
      <c r="F46" s="370"/>
      <c r="G46" s="95" t="s">
        <v>66</v>
      </c>
      <c r="H46" s="96" t="s">
        <v>67</v>
      </c>
      <c r="I46" s="97" t="s">
        <v>68</v>
      </c>
      <c r="J46" s="97" t="s">
        <v>69</v>
      </c>
      <c r="K46" s="97" t="s">
        <v>70</v>
      </c>
      <c r="L46" s="191"/>
      <c r="M46" s="189"/>
      <c r="N46" s="368" t="s">
        <v>107</v>
      </c>
      <c r="O46" s="369"/>
      <c r="P46" s="369"/>
      <c r="Q46" s="369"/>
      <c r="R46" s="369"/>
      <c r="S46" s="370"/>
      <c r="T46" s="95" t="s">
        <v>66</v>
      </c>
      <c r="U46" s="96" t="s">
        <v>67</v>
      </c>
      <c r="V46" s="97" t="s">
        <v>68</v>
      </c>
      <c r="W46" s="97" t="s">
        <v>69</v>
      </c>
      <c r="X46" s="167" t="s">
        <v>70</v>
      </c>
    </row>
    <row r="47" spans="1:24" s="3" customFormat="1" ht="24.75" customHeight="1" thickTop="1">
      <c r="A47" s="458" t="s">
        <v>112</v>
      </c>
      <c r="B47" s="356" t="s">
        <v>3</v>
      </c>
      <c r="C47" s="357"/>
      <c r="D47" s="358"/>
      <c r="E47" s="359"/>
      <c r="F47" s="360"/>
      <c r="G47" s="29">
        <v>17759</v>
      </c>
      <c r="H47" s="72">
        <v>22906</v>
      </c>
      <c r="I47" s="4">
        <f>SUM(G47-H47)</f>
        <v>-5147</v>
      </c>
      <c r="J47" s="73">
        <f>SUM(G47/H47*100)-100</f>
        <v>-22.470095171570776</v>
      </c>
      <c r="K47" s="27">
        <f>SUM(G47/G47*100)</f>
        <v>100</v>
      </c>
      <c r="L47" s="192"/>
      <c r="M47" s="187"/>
      <c r="N47" s="458" t="s">
        <v>112</v>
      </c>
      <c r="O47" s="356" t="s">
        <v>3</v>
      </c>
      <c r="P47" s="357"/>
      <c r="Q47" s="358"/>
      <c r="R47" s="359"/>
      <c r="S47" s="360"/>
      <c r="T47" s="75">
        <v>1377266</v>
      </c>
      <c r="U47" s="76">
        <v>1679084</v>
      </c>
      <c r="V47" s="8">
        <f>SUM(T47-U47)</f>
        <v>-301818</v>
      </c>
      <c r="W47" s="5">
        <f>SUM(T47/U47*100)-100</f>
        <v>-17.975157883703247</v>
      </c>
      <c r="X47" s="28">
        <f>SUM(T47/T47*100)</f>
        <v>100</v>
      </c>
    </row>
    <row r="48" spans="1:24" s="3" customFormat="1" ht="24.75" customHeight="1">
      <c r="A48" s="452"/>
      <c r="B48" s="290"/>
      <c r="C48" s="258" t="s">
        <v>46</v>
      </c>
      <c r="D48" s="259"/>
      <c r="E48" s="259"/>
      <c r="F48" s="291"/>
      <c r="G48" s="39">
        <v>352</v>
      </c>
      <c r="H48" s="17">
        <v>419</v>
      </c>
      <c r="I48" s="18">
        <f>SUM(G48-H48)</f>
        <v>-67</v>
      </c>
      <c r="J48" s="11">
        <f>SUM(G48/H48*100)-100</f>
        <v>-15.990453460620529</v>
      </c>
      <c r="K48" s="11">
        <f>SUM(G48/G47*100)</f>
        <v>1.9820935863505826</v>
      </c>
      <c r="L48" s="192"/>
      <c r="M48" s="187"/>
      <c r="N48" s="452"/>
      <c r="O48" s="290"/>
      <c r="P48" s="258" t="s">
        <v>46</v>
      </c>
      <c r="Q48" s="259"/>
      <c r="R48" s="259"/>
      <c r="S48" s="291"/>
      <c r="T48" s="20">
        <v>25068</v>
      </c>
      <c r="U48" s="21">
        <v>34172</v>
      </c>
      <c r="V48" s="22">
        <f>SUM(T48-U48)</f>
        <v>-9104</v>
      </c>
      <c r="W48" s="11">
        <f>SUM(T48/U48*100)-100</f>
        <v>-26.641694954933854</v>
      </c>
      <c r="X48" s="16">
        <f>SUM(T48/T47*100)</f>
        <v>1.8201277022739253</v>
      </c>
    </row>
    <row r="49" spans="1:24" s="3" customFormat="1" ht="24.75" customHeight="1">
      <c r="A49" s="453"/>
      <c r="B49" s="244"/>
      <c r="C49" s="255" t="s">
        <v>47</v>
      </c>
      <c r="D49" s="256"/>
      <c r="E49" s="256"/>
      <c r="F49" s="257"/>
      <c r="G49" s="39">
        <v>21</v>
      </c>
      <c r="H49" s="17">
        <v>39</v>
      </c>
      <c r="I49" s="18">
        <f>SUM(G49-H49)</f>
        <v>-18</v>
      </c>
      <c r="J49" s="11">
        <f>SUM(G49/H49*100)-100</f>
        <v>-46.15384615384615</v>
      </c>
      <c r="K49" s="11">
        <f>SUM(G49/G47*100)</f>
        <v>0.11824990145841545</v>
      </c>
      <c r="L49" s="192"/>
      <c r="M49" s="187"/>
      <c r="N49" s="453"/>
      <c r="O49" s="244"/>
      <c r="P49" s="255" t="s">
        <v>47</v>
      </c>
      <c r="Q49" s="256"/>
      <c r="R49" s="256"/>
      <c r="S49" s="257"/>
      <c r="T49" s="20">
        <v>3723</v>
      </c>
      <c r="U49" s="21">
        <v>5840</v>
      </c>
      <c r="V49" s="22">
        <f>SUM(T49-U49)</f>
        <v>-2117</v>
      </c>
      <c r="W49" s="11">
        <f>SUM(T49/U49*100)-100</f>
        <v>-36.25000000000001</v>
      </c>
      <c r="X49" s="16">
        <f>SUM(T49/T47*100)</f>
        <v>0.2703181520490595</v>
      </c>
    </row>
    <row r="50" spans="1:24" s="3" customFormat="1" ht="24.75" customHeight="1">
      <c r="A50" s="324" t="s">
        <v>109</v>
      </c>
      <c r="B50" s="244"/>
      <c r="C50" s="258" t="s">
        <v>48</v>
      </c>
      <c r="D50" s="259"/>
      <c r="E50" s="260"/>
      <c r="F50" s="261"/>
      <c r="G50" s="41">
        <v>22</v>
      </c>
      <c r="H50" s="40">
        <v>22</v>
      </c>
      <c r="I50" s="18">
        <f>SUM(G50-H50)</f>
        <v>0</v>
      </c>
      <c r="J50" s="11">
        <f>SUM(G50/H50*100)-100</f>
        <v>0</v>
      </c>
      <c r="K50" s="11">
        <f>SUM(G50/G47*100)</f>
        <v>0.12388084914691141</v>
      </c>
      <c r="L50" s="192"/>
      <c r="M50" s="187"/>
      <c r="N50" s="324" t="s">
        <v>109</v>
      </c>
      <c r="O50" s="244"/>
      <c r="P50" s="258" t="s">
        <v>48</v>
      </c>
      <c r="Q50" s="259"/>
      <c r="R50" s="260"/>
      <c r="S50" s="261"/>
      <c r="T50" s="24">
        <v>6597</v>
      </c>
      <c r="U50" s="25">
        <v>8768</v>
      </c>
      <c r="V50" s="22">
        <f>SUM(T50-U50)</f>
        <v>-2171</v>
      </c>
      <c r="W50" s="11">
        <f>SUM(T50/U50*100)-100</f>
        <v>-24.760492700729927</v>
      </c>
      <c r="X50" s="16">
        <f>SUM(T50/T47*100)</f>
        <v>0.4789924386429346</v>
      </c>
    </row>
    <row r="51" spans="1:24" s="3" customFormat="1" ht="24.75" customHeight="1" thickBot="1">
      <c r="A51" s="292"/>
      <c r="B51" s="272"/>
      <c r="C51" s="280" t="s">
        <v>49</v>
      </c>
      <c r="D51" s="277"/>
      <c r="E51" s="278"/>
      <c r="F51" s="279"/>
      <c r="G51" s="79">
        <v>13</v>
      </c>
      <c r="H51" s="80">
        <v>11</v>
      </c>
      <c r="I51" s="81">
        <f>SUM(G51-H51)</f>
        <v>2</v>
      </c>
      <c r="J51" s="82">
        <f>SUM(G51/H51*100)-100</f>
        <v>18.181818181818187</v>
      </c>
      <c r="K51" s="82">
        <f>SUM(G51/G47*100)</f>
        <v>0.07320231995044765</v>
      </c>
      <c r="L51" s="192"/>
      <c r="M51" s="187"/>
      <c r="N51" s="292"/>
      <c r="O51" s="272"/>
      <c r="P51" s="280" t="s">
        <v>49</v>
      </c>
      <c r="Q51" s="277"/>
      <c r="R51" s="278"/>
      <c r="S51" s="279"/>
      <c r="T51" s="83">
        <v>1750</v>
      </c>
      <c r="U51" s="84">
        <v>2006</v>
      </c>
      <c r="V51" s="85">
        <f>SUM(T51-U51)</f>
        <v>-256</v>
      </c>
      <c r="W51" s="82">
        <f>SUM(T51/U51*100)-100</f>
        <v>-12.76171485543371</v>
      </c>
      <c r="X51" s="86">
        <f>SUM(T51/T47*100)</f>
        <v>0.12706332690997962</v>
      </c>
    </row>
    <row r="52" spans="1:24" s="3" customFormat="1" ht="25.5" customHeight="1" thickTop="1">
      <c r="A52" s="398" t="s">
        <v>101</v>
      </c>
      <c r="B52" s="444" t="s">
        <v>3</v>
      </c>
      <c r="C52" s="445"/>
      <c r="D52" s="446"/>
      <c r="E52" s="447"/>
      <c r="F52" s="448"/>
      <c r="G52" s="98">
        <v>17759</v>
      </c>
      <c r="H52" s="223">
        <v>22906</v>
      </c>
      <c r="I52" s="4">
        <f aca="true" t="shared" si="4" ref="I52:I71">SUM(G52-H52)</f>
        <v>-5147</v>
      </c>
      <c r="J52" s="5">
        <f aca="true" t="shared" si="5" ref="J52:J63">SUM(G52/H52*100)-100</f>
        <v>-22.470095171570776</v>
      </c>
      <c r="K52" s="27">
        <f>SUM(G52/G52*100)</f>
        <v>100</v>
      </c>
      <c r="L52" s="192"/>
      <c r="M52" s="187"/>
      <c r="N52" s="398" t="s">
        <v>101</v>
      </c>
      <c r="O52" s="444" t="s">
        <v>3</v>
      </c>
      <c r="P52" s="445"/>
      <c r="Q52" s="446"/>
      <c r="R52" s="447"/>
      <c r="S52" s="448"/>
      <c r="T52" s="98">
        <v>1377266</v>
      </c>
      <c r="U52" s="244">
        <v>1679084</v>
      </c>
      <c r="V52" s="4">
        <f aca="true" t="shared" si="6" ref="V52:V71">SUM(T52-U52)</f>
        <v>-301818</v>
      </c>
      <c r="W52" s="5">
        <f aca="true" t="shared" si="7" ref="W52:W61">SUM(T52/U52*100)-100</f>
        <v>-17.975157883703247</v>
      </c>
      <c r="X52" s="28">
        <f>SUM(T52/T52*100)</f>
        <v>100</v>
      </c>
    </row>
    <row r="53" spans="1:24" s="3" customFormat="1" ht="15" customHeight="1">
      <c r="A53" s="424"/>
      <c r="B53" s="290"/>
      <c r="C53" s="344" t="s">
        <v>123</v>
      </c>
      <c r="D53" s="345"/>
      <c r="E53" s="345"/>
      <c r="F53" s="346"/>
      <c r="G53" s="114">
        <v>185</v>
      </c>
      <c r="H53" s="40">
        <v>233</v>
      </c>
      <c r="I53" s="18">
        <f>SUM(G53-H53)</f>
        <v>-48</v>
      </c>
      <c r="J53" s="11">
        <f>SUM(G53/H53*100)-100</f>
        <v>-20.600858369098717</v>
      </c>
      <c r="K53" s="11">
        <f>SUM(G53/G52*100)</f>
        <v>1.041725322371755</v>
      </c>
      <c r="L53" s="192"/>
      <c r="M53" s="187"/>
      <c r="N53" s="424"/>
      <c r="O53" s="290"/>
      <c r="P53" s="344" t="s">
        <v>123</v>
      </c>
      <c r="Q53" s="345"/>
      <c r="R53" s="345"/>
      <c r="S53" s="346"/>
      <c r="T53" s="114">
        <v>16089</v>
      </c>
      <c r="U53" s="40">
        <v>17598</v>
      </c>
      <c r="V53" s="18">
        <f>SUM(T53-U53)</f>
        <v>-1509</v>
      </c>
      <c r="W53" s="11">
        <f>SUM(T53/U53*100)-100</f>
        <v>-8.574838049778393</v>
      </c>
      <c r="X53" s="16">
        <f>SUM(T53/T52*100)</f>
        <v>1.1681839238026641</v>
      </c>
    </row>
    <row r="54" spans="1:24" s="3" customFormat="1" ht="15" customHeight="1">
      <c r="A54" s="425"/>
      <c r="B54" s="244"/>
      <c r="C54" s="344" t="s">
        <v>2</v>
      </c>
      <c r="D54" s="345"/>
      <c r="E54" s="345"/>
      <c r="F54" s="346"/>
      <c r="G54" s="39">
        <v>116</v>
      </c>
      <c r="H54" s="17">
        <v>136</v>
      </c>
      <c r="I54" s="18">
        <f t="shared" si="4"/>
        <v>-20</v>
      </c>
      <c r="J54" s="11">
        <f t="shared" si="5"/>
        <v>-14.705882352941174</v>
      </c>
      <c r="K54" s="11">
        <f>SUM(G54/G52*100)</f>
        <v>0.653189931865533</v>
      </c>
      <c r="L54" s="192"/>
      <c r="M54" s="187"/>
      <c r="N54" s="425"/>
      <c r="O54" s="244"/>
      <c r="P54" s="344" t="s">
        <v>2</v>
      </c>
      <c r="Q54" s="345"/>
      <c r="R54" s="345"/>
      <c r="S54" s="346"/>
      <c r="T54" s="39">
        <v>32919</v>
      </c>
      <c r="U54" s="40">
        <v>36323</v>
      </c>
      <c r="V54" s="18">
        <f t="shared" si="6"/>
        <v>-3404</v>
      </c>
      <c r="W54" s="11">
        <f t="shared" si="7"/>
        <v>-9.371472620653577</v>
      </c>
      <c r="X54" s="16">
        <f>SUM(T54/T52*100)</f>
        <v>2.3901700905997822</v>
      </c>
    </row>
    <row r="55" spans="1:24" s="3" customFormat="1" ht="15" customHeight="1">
      <c r="A55" s="425"/>
      <c r="B55" s="244"/>
      <c r="C55" s="349">
        <v>0.3</v>
      </c>
      <c r="D55" s="364"/>
      <c r="E55" s="293" t="s">
        <v>25</v>
      </c>
      <c r="F55" s="294" t="s">
        <v>80</v>
      </c>
      <c r="G55" s="41">
        <f>2321+5194</f>
        <v>7515</v>
      </c>
      <c r="H55" s="40">
        <v>10132</v>
      </c>
      <c r="I55" s="18">
        <f t="shared" si="4"/>
        <v>-2617</v>
      </c>
      <c r="J55" s="11">
        <f t="shared" si="5"/>
        <v>-25.829056454796685</v>
      </c>
      <c r="K55" s="11">
        <f>SUM(G55/G52*100)</f>
        <v>42.316571879047245</v>
      </c>
      <c r="L55" s="192"/>
      <c r="M55" s="187"/>
      <c r="N55" s="425"/>
      <c r="O55" s="244"/>
      <c r="P55" s="349">
        <v>0.3</v>
      </c>
      <c r="Q55" s="364"/>
      <c r="R55" s="293" t="s">
        <v>25</v>
      </c>
      <c r="S55" s="294" t="s">
        <v>80</v>
      </c>
      <c r="T55" s="41">
        <f>256106+436249</f>
        <v>692355</v>
      </c>
      <c r="U55" s="40">
        <v>878753</v>
      </c>
      <c r="V55" s="18">
        <f t="shared" si="6"/>
        <v>-186398</v>
      </c>
      <c r="W55" s="11">
        <f t="shared" si="7"/>
        <v>-21.211648779577416</v>
      </c>
      <c r="X55" s="16">
        <f>SUM(T55/T52*100)</f>
        <v>50.27024554443368</v>
      </c>
    </row>
    <row r="56" spans="1:24" s="3" customFormat="1" ht="15" customHeight="1">
      <c r="A56" s="62" t="s">
        <v>109</v>
      </c>
      <c r="B56" s="244"/>
      <c r="C56" s="349">
        <v>1</v>
      </c>
      <c r="D56" s="350"/>
      <c r="E56" s="293" t="s">
        <v>25</v>
      </c>
      <c r="F56" s="294" t="s">
        <v>81</v>
      </c>
      <c r="G56" s="41">
        <f>3726+2301</f>
        <v>6027</v>
      </c>
      <c r="H56" s="40">
        <v>7979</v>
      </c>
      <c r="I56" s="18">
        <f t="shared" si="4"/>
        <v>-1952</v>
      </c>
      <c r="J56" s="11">
        <f t="shared" si="5"/>
        <v>-24.464218573756114</v>
      </c>
      <c r="K56" s="11">
        <f>SUM(G56/G52*100)</f>
        <v>33.937721718565236</v>
      </c>
      <c r="L56" s="192"/>
      <c r="M56" s="187"/>
      <c r="N56" s="62" t="s">
        <v>109</v>
      </c>
      <c r="O56" s="244"/>
      <c r="P56" s="349">
        <v>1</v>
      </c>
      <c r="Q56" s="350"/>
      <c r="R56" s="293" t="s">
        <v>25</v>
      </c>
      <c r="S56" s="294" t="s">
        <v>81</v>
      </c>
      <c r="T56" s="41">
        <f>215883+117486</f>
        <v>333369</v>
      </c>
      <c r="U56" s="40">
        <v>416877</v>
      </c>
      <c r="V56" s="18">
        <f t="shared" si="6"/>
        <v>-83508</v>
      </c>
      <c r="W56" s="11">
        <f t="shared" si="7"/>
        <v>-20.031807943350202</v>
      </c>
      <c r="X56" s="16">
        <f>SUM(T56/T52*100)</f>
        <v>24.205128130658856</v>
      </c>
    </row>
    <row r="57" spans="1:24" s="3" customFormat="1" ht="15" customHeight="1">
      <c r="A57" s="98"/>
      <c r="B57" s="244"/>
      <c r="C57" s="349">
        <v>2</v>
      </c>
      <c r="D57" s="350"/>
      <c r="E57" s="293" t="s">
        <v>25</v>
      </c>
      <c r="F57" s="294" t="s">
        <v>82</v>
      </c>
      <c r="G57" s="41">
        <v>1675</v>
      </c>
      <c r="H57" s="40">
        <v>2137</v>
      </c>
      <c r="I57" s="18">
        <f t="shared" si="4"/>
        <v>-462</v>
      </c>
      <c r="J57" s="11">
        <f t="shared" si="5"/>
        <v>-21.619092185306513</v>
      </c>
      <c r="K57" s="11">
        <f>SUM(G57/G52*100)</f>
        <v>9.431837378230757</v>
      </c>
      <c r="L57" s="192"/>
      <c r="M57" s="187"/>
      <c r="N57" s="98"/>
      <c r="O57" s="244"/>
      <c r="P57" s="349">
        <v>2</v>
      </c>
      <c r="Q57" s="350"/>
      <c r="R57" s="293" t="s">
        <v>25</v>
      </c>
      <c r="S57" s="294" t="s">
        <v>82</v>
      </c>
      <c r="T57" s="41">
        <v>115983</v>
      </c>
      <c r="U57" s="40">
        <v>137323</v>
      </c>
      <c r="V57" s="18">
        <f t="shared" si="6"/>
        <v>-21340</v>
      </c>
      <c r="W57" s="11">
        <f t="shared" si="7"/>
        <v>-15.540004223618766</v>
      </c>
      <c r="X57" s="16">
        <f>SUM(T57/T52*100)</f>
        <v>8.42124905428581</v>
      </c>
    </row>
    <row r="58" spans="1:24" s="3" customFormat="1" ht="15" customHeight="1">
      <c r="A58" s="98"/>
      <c r="B58" s="244"/>
      <c r="C58" s="400">
        <v>3</v>
      </c>
      <c r="D58" s="401"/>
      <c r="E58" s="246" t="s">
        <v>25</v>
      </c>
      <c r="F58" s="247" t="s">
        <v>83</v>
      </c>
      <c r="G58" s="39">
        <v>763</v>
      </c>
      <c r="H58" s="17">
        <v>875</v>
      </c>
      <c r="I58" s="26">
        <f t="shared" si="4"/>
        <v>-112</v>
      </c>
      <c r="J58" s="27">
        <f t="shared" si="5"/>
        <v>-12.799999999999997</v>
      </c>
      <c r="K58" s="42">
        <f>SUM(G58/G52*100)</f>
        <v>4.296413086322428</v>
      </c>
      <c r="L58" s="192"/>
      <c r="M58" s="187"/>
      <c r="N58" s="98"/>
      <c r="O58" s="244"/>
      <c r="P58" s="400">
        <v>3</v>
      </c>
      <c r="Q58" s="401"/>
      <c r="R58" s="246" t="s">
        <v>25</v>
      </c>
      <c r="S58" s="247" t="s">
        <v>83</v>
      </c>
      <c r="T58" s="39">
        <v>81538</v>
      </c>
      <c r="U58" s="17">
        <v>90480</v>
      </c>
      <c r="V58" s="26">
        <f t="shared" si="6"/>
        <v>-8942</v>
      </c>
      <c r="W58" s="27">
        <f t="shared" si="7"/>
        <v>-9.882847038019449</v>
      </c>
      <c r="X58" s="44">
        <f>SUM(T58/T52*100)</f>
        <v>5.920279742620525</v>
      </c>
    </row>
    <row r="59" spans="1:24" s="3" customFormat="1" ht="25.5" customHeight="1">
      <c r="A59" s="98"/>
      <c r="B59" s="244"/>
      <c r="C59" s="404" t="s">
        <v>22</v>
      </c>
      <c r="D59" s="405"/>
      <c r="E59" s="405"/>
      <c r="F59" s="406"/>
      <c r="G59" s="336">
        <f>SUM(G53:G58)</f>
        <v>16281</v>
      </c>
      <c r="H59" s="100">
        <f>SUM(H53:H58)</f>
        <v>21492</v>
      </c>
      <c r="I59" s="47">
        <f t="shared" si="4"/>
        <v>-5211</v>
      </c>
      <c r="J59" s="49">
        <f t="shared" si="5"/>
        <v>-24.2462311557789</v>
      </c>
      <c r="K59" s="49">
        <f>SUM(G59/G52*100)</f>
        <v>91.67745931640296</v>
      </c>
      <c r="L59" s="192"/>
      <c r="M59" s="187"/>
      <c r="N59" s="98"/>
      <c r="O59" s="244"/>
      <c r="P59" s="404" t="s">
        <v>22</v>
      </c>
      <c r="Q59" s="405"/>
      <c r="R59" s="405"/>
      <c r="S59" s="406"/>
      <c r="T59" s="336">
        <f>SUM(T53:T58)</f>
        <v>1272253</v>
      </c>
      <c r="U59" s="100">
        <f>SUM(U53:U58)</f>
        <v>1577354</v>
      </c>
      <c r="V59" s="47">
        <f t="shared" si="6"/>
        <v>-305101</v>
      </c>
      <c r="W59" s="49">
        <f t="shared" si="7"/>
        <v>-19.342582578165718</v>
      </c>
      <c r="X59" s="53">
        <f>SUM(T59/T52*100)</f>
        <v>92.37525648640133</v>
      </c>
    </row>
    <row r="60" spans="1:24" s="3" customFormat="1" ht="15" customHeight="1">
      <c r="A60" s="98"/>
      <c r="B60" s="244"/>
      <c r="C60" s="402">
        <v>5</v>
      </c>
      <c r="D60" s="403"/>
      <c r="E60" s="295" t="s">
        <v>25</v>
      </c>
      <c r="F60" s="296" t="s">
        <v>26</v>
      </c>
      <c r="G60" s="101">
        <v>526</v>
      </c>
      <c r="H60" s="102">
        <v>552</v>
      </c>
      <c r="I60" s="26">
        <f t="shared" si="4"/>
        <v>-26</v>
      </c>
      <c r="J60" s="6">
        <f t="shared" si="5"/>
        <v>-4.710144927536234</v>
      </c>
      <c r="K60" s="6">
        <f>SUM(G60/G52*100)</f>
        <v>2.9618784841488823</v>
      </c>
      <c r="L60" s="192"/>
      <c r="M60" s="187"/>
      <c r="N60" s="98"/>
      <c r="O60" s="244"/>
      <c r="P60" s="402">
        <v>5</v>
      </c>
      <c r="Q60" s="403"/>
      <c r="R60" s="295" t="s">
        <v>25</v>
      </c>
      <c r="S60" s="296" t="s">
        <v>26</v>
      </c>
      <c r="T60" s="101">
        <v>52229</v>
      </c>
      <c r="U60" s="102">
        <v>52188</v>
      </c>
      <c r="V60" s="26">
        <f t="shared" si="6"/>
        <v>41</v>
      </c>
      <c r="W60" s="6">
        <f t="shared" si="7"/>
        <v>0.07856212156052322</v>
      </c>
      <c r="X60" s="9">
        <f>SUM(T60/T52*100)</f>
        <v>3.792223143532186</v>
      </c>
    </row>
    <row r="61" spans="1:24" s="3" customFormat="1" ht="15" customHeight="1">
      <c r="A61" s="98"/>
      <c r="B61" s="244"/>
      <c r="C61" s="250" t="s">
        <v>26</v>
      </c>
      <c r="D61" s="293"/>
      <c r="E61" s="293" t="s">
        <v>25</v>
      </c>
      <c r="F61" s="294" t="s">
        <v>27</v>
      </c>
      <c r="G61" s="41">
        <f>372+252</f>
        <v>624</v>
      </c>
      <c r="H61" s="40">
        <v>599</v>
      </c>
      <c r="I61" s="103">
        <f t="shared" si="4"/>
        <v>25</v>
      </c>
      <c r="J61" s="11">
        <f t="shared" si="5"/>
        <v>4.1736227045075225</v>
      </c>
      <c r="K61" s="11">
        <f>SUM(G61/G52*100)</f>
        <v>3.513711357621488</v>
      </c>
      <c r="L61" s="192"/>
      <c r="M61" s="187"/>
      <c r="N61" s="98"/>
      <c r="O61" s="244"/>
      <c r="P61" s="250" t="s">
        <v>26</v>
      </c>
      <c r="Q61" s="293"/>
      <c r="R61" s="293" t="s">
        <v>25</v>
      </c>
      <c r="S61" s="294" t="s">
        <v>27</v>
      </c>
      <c r="T61" s="41">
        <f>25396+10292</f>
        <v>35688</v>
      </c>
      <c r="U61" s="40">
        <v>33479</v>
      </c>
      <c r="V61" s="103">
        <f t="shared" si="6"/>
        <v>2209</v>
      </c>
      <c r="W61" s="11">
        <f t="shared" si="7"/>
        <v>6.598166014516565</v>
      </c>
      <c r="X61" s="16">
        <f>SUM(T61/T52*100)</f>
        <v>2.5912205775790587</v>
      </c>
    </row>
    <row r="62" spans="1:24" s="3" customFormat="1" ht="15" customHeight="1">
      <c r="A62" s="98"/>
      <c r="B62" s="244"/>
      <c r="C62" s="249" t="s">
        <v>24</v>
      </c>
      <c r="D62" s="287"/>
      <c r="E62" s="287"/>
      <c r="F62" s="297"/>
      <c r="G62" s="104">
        <f>237+74+17</f>
        <v>328</v>
      </c>
      <c r="H62" s="105">
        <v>263</v>
      </c>
      <c r="I62" s="26">
        <f t="shared" si="4"/>
        <v>65</v>
      </c>
      <c r="J62" s="42">
        <f>SUM(G62/H62*100)-100</f>
        <v>24.714828897338407</v>
      </c>
      <c r="K62" s="42">
        <f>SUM(G62/G52*100)</f>
        <v>1.8469508418266796</v>
      </c>
      <c r="L62" s="192"/>
      <c r="M62" s="187"/>
      <c r="N62" s="98"/>
      <c r="O62" s="244"/>
      <c r="P62" s="249" t="s">
        <v>24</v>
      </c>
      <c r="Q62" s="287"/>
      <c r="R62" s="287"/>
      <c r="S62" s="297"/>
      <c r="T62" s="104">
        <f>9385+6121+1590</f>
        <v>17096</v>
      </c>
      <c r="U62" s="105">
        <v>16063</v>
      </c>
      <c r="V62" s="26">
        <f t="shared" si="6"/>
        <v>1033</v>
      </c>
      <c r="W62" s="42">
        <f>SUM(T62/U62*100)-100</f>
        <v>6.430928220133225</v>
      </c>
      <c r="X62" s="44">
        <f>SUM(T62/T52*100)</f>
        <v>1.2412997924874354</v>
      </c>
    </row>
    <row r="63" spans="1:24" s="3" customFormat="1" ht="24.75" customHeight="1" thickBot="1">
      <c r="A63" s="98"/>
      <c r="B63" s="244"/>
      <c r="C63" s="409" t="s">
        <v>22</v>
      </c>
      <c r="D63" s="410"/>
      <c r="E63" s="410"/>
      <c r="F63" s="411"/>
      <c r="G63" s="60">
        <f>SUM(G60:G62)</f>
        <v>1478</v>
      </c>
      <c r="H63" s="61">
        <f>SUM(H60:H62)</f>
        <v>1414</v>
      </c>
      <c r="I63" s="200">
        <f t="shared" si="4"/>
        <v>64</v>
      </c>
      <c r="J63" s="27">
        <f t="shared" si="5"/>
        <v>4.526166902404526</v>
      </c>
      <c r="K63" s="6">
        <f>SUM(G63/G52*100)</f>
        <v>8.32254068359705</v>
      </c>
      <c r="L63" s="192"/>
      <c r="M63" s="187"/>
      <c r="N63" s="98"/>
      <c r="O63" s="244"/>
      <c r="P63" s="409" t="s">
        <v>22</v>
      </c>
      <c r="Q63" s="410"/>
      <c r="R63" s="410"/>
      <c r="S63" s="411"/>
      <c r="T63" s="60">
        <f>SUM(T60:T62)</f>
        <v>105013</v>
      </c>
      <c r="U63" s="61">
        <f>SUM(U60:U62)</f>
        <v>101730</v>
      </c>
      <c r="V63" s="200">
        <f t="shared" si="6"/>
        <v>3283</v>
      </c>
      <c r="W63" s="27">
        <f>SUM(T63/U63*100)-100</f>
        <v>3.2271699596972354</v>
      </c>
      <c r="X63" s="9">
        <f>SUM(T63/T52*100)</f>
        <v>7.6247435135986805</v>
      </c>
    </row>
    <row r="64" spans="1:24" s="3" customFormat="1" ht="25.5" customHeight="1" thickTop="1">
      <c r="A64" s="298" t="s">
        <v>56</v>
      </c>
      <c r="B64" s="356" t="s">
        <v>3</v>
      </c>
      <c r="C64" s="357"/>
      <c r="D64" s="359"/>
      <c r="E64" s="359"/>
      <c r="F64" s="360"/>
      <c r="G64" s="125">
        <v>16744</v>
      </c>
      <c r="H64" s="201">
        <v>21914</v>
      </c>
      <c r="I64" s="202">
        <f t="shared" si="4"/>
        <v>-5170</v>
      </c>
      <c r="J64" s="33">
        <f aca="true" t="shared" si="8" ref="J64:J71">SUM(G64/H64*100)-100</f>
        <v>-23.59222414894589</v>
      </c>
      <c r="K64" s="106">
        <f>SUM(G64/G64*100)</f>
        <v>100</v>
      </c>
      <c r="L64" s="192"/>
      <c r="M64" s="187"/>
      <c r="N64" s="298" t="s">
        <v>56</v>
      </c>
      <c r="O64" s="356" t="s">
        <v>3</v>
      </c>
      <c r="P64" s="357"/>
      <c r="Q64" s="359"/>
      <c r="R64" s="359"/>
      <c r="S64" s="360"/>
      <c r="T64" s="125">
        <v>1329591</v>
      </c>
      <c r="U64" s="201">
        <v>1631206</v>
      </c>
      <c r="V64" s="202">
        <f t="shared" si="6"/>
        <v>-301615</v>
      </c>
      <c r="W64" s="33">
        <f aca="true" t="shared" si="9" ref="W64:W71">SUM(T64/U64*100)-100</f>
        <v>-18.490307171503787</v>
      </c>
      <c r="X64" s="106">
        <f>SUM(T64/T64*100)</f>
        <v>100</v>
      </c>
    </row>
    <row r="65" spans="1:24" s="3" customFormat="1" ht="25.5" customHeight="1">
      <c r="A65" s="62" t="s">
        <v>16</v>
      </c>
      <c r="B65" s="415" t="s">
        <v>12</v>
      </c>
      <c r="C65" s="418" t="s">
        <v>9</v>
      </c>
      <c r="D65" s="419"/>
      <c r="E65" s="419"/>
      <c r="F65" s="420"/>
      <c r="G65" s="107">
        <v>1207</v>
      </c>
      <c r="H65" s="108">
        <v>1244</v>
      </c>
      <c r="I65" s="109">
        <f t="shared" si="4"/>
        <v>-37</v>
      </c>
      <c r="J65" s="6">
        <f t="shared" si="8"/>
        <v>-2.9742765273311846</v>
      </c>
      <c r="K65" s="9">
        <f>SUM(G65/G64*100)</f>
        <v>7.208552317247969</v>
      </c>
      <c r="L65" s="192"/>
      <c r="M65" s="187"/>
      <c r="N65" s="62" t="s">
        <v>16</v>
      </c>
      <c r="O65" s="415" t="s">
        <v>12</v>
      </c>
      <c r="P65" s="418" t="s">
        <v>9</v>
      </c>
      <c r="Q65" s="419"/>
      <c r="R65" s="419"/>
      <c r="S65" s="420"/>
      <c r="T65" s="107">
        <v>293928</v>
      </c>
      <c r="U65" s="108">
        <v>359720</v>
      </c>
      <c r="V65" s="109">
        <f t="shared" si="6"/>
        <v>-65792</v>
      </c>
      <c r="W65" s="6">
        <f t="shared" si="9"/>
        <v>-18.289780940731674</v>
      </c>
      <c r="X65" s="9">
        <f>SUM(T65/T64*100)</f>
        <v>22.10664783380754</v>
      </c>
    </row>
    <row r="66" spans="1:24" s="3" customFormat="1" ht="25.5" customHeight="1">
      <c r="A66" s="98"/>
      <c r="B66" s="416"/>
      <c r="C66" s="421" t="s">
        <v>10</v>
      </c>
      <c r="D66" s="422"/>
      <c r="E66" s="422"/>
      <c r="F66" s="423"/>
      <c r="G66" s="114">
        <v>3487</v>
      </c>
      <c r="H66" s="40">
        <v>5658</v>
      </c>
      <c r="I66" s="110">
        <f t="shared" si="4"/>
        <v>-2171</v>
      </c>
      <c r="J66" s="11">
        <f t="shared" si="8"/>
        <v>-38.37044892188052</v>
      </c>
      <c r="K66" s="16">
        <f>SUM(G66/G64*100)</f>
        <v>20.825370281892024</v>
      </c>
      <c r="L66" s="192"/>
      <c r="M66" s="187"/>
      <c r="N66" s="98"/>
      <c r="O66" s="416"/>
      <c r="P66" s="421" t="s">
        <v>10</v>
      </c>
      <c r="Q66" s="422"/>
      <c r="R66" s="422"/>
      <c r="S66" s="423"/>
      <c r="T66" s="114">
        <v>257041</v>
      </c>
      <c r="U66" s="40">
        <v>388883</v>
      </c>
      <c r="V66" s="110">
        <f t="shared" si="6"/>
        <v>-131842</v>
      </c>
      <c r="W66" s="11">
        <f t="shared" si="9"/>
        <v>-33.90274195580676</v>
      </c>
      <c r="X66" s="16">
        <f>SUM(T66/T64*100)</f>
        <v>19.332336034163887</v>
      </c>
    </row>
    <row r="67" spans="1:24" s="3" customFormat="1" ht="25.5" customHeight="1">
      <c r="A67" s="98"/>
      <c r="B67" s="417"/>
      <c r="C67" s="412" t="s">
        <v>11</v>
      </c>
      <c r="D67" s="413"/>
      <c r="E67" s="413"/>
      <c r="F67" s="414"/>
      <c r="G67" s="219">
        <v>12050</v>
      </c>
      <c r="H67" s="105">
        <v>15012</v>
      </c>
      <c r="I67" s="111">
        <f t="shared" si="4"/>
        <v>-2962</v>
      </c>
      <c r="J67" s="42">
        <f t="shared" si="8"/>
        <v>-19.730881961097793</v>
      </c>
      <c r="K67" s="44">
        <f>SUM(G67/G64*100)</f>
        <v>71.96607740086</v>
      </c>
      <c r="L67" s="192"/>
      <c r="M67" s="187"/>
      <c r="N67" s="98"/>
      <c r="O67" s="417"/>
      <c r="P67" s="412" t="s">
        <v>11</v>
      </c>
      <c r="Q67" s="413"/>
      <c r="R67" s="413"/>
      <c r="S67" s="414"/>
      <c r="T67" s="219">
        <v>778622</v>
      </c>
      <c r="U67" s="105">
        <v>882603</v>
      </c>
      <c r="V67" s="111">
        <f t="shared" si="6"/>
        <v>-103981</v>
      </c>
      <c r="W67" s="42">
        <f t="shared" si="9"/>
        <v>-11.781174548466296</v>
      </c>
      <c r="X67" s="44">
        <f>SUM(T67/T64*100)</f>
        <v>58.56101613202858</v>
      </c>
    </row>
    <row r="68" spans="1:24" s="3" customFormat="1" ht="25.5" customHeight="1">
      <c r="A68" s="98"/>
      <c r="B68" s="374" t="s">
        <v>8</v>
      </c>
      <c r="C68" s="438" t="s">
        <v>14</v>
      </c>
      <c r="D68" s="439"/>
      <c r="E68" s="439"/>
      <c r="F68" s="440"/>
      <c r="G68" s="112">
        <v>2711</v>
      </c>
      <c r="H68" s="55">
        <v>2024</v>
      </c>
      <c r="I68" s="88">
        <f t="shared" si="4"/>
        <v>687</v>
      </c>
      <c r="J68" s="113">
        <f t="shared" si="8"/>
        <v>33.94268774703556</v>
      </c>
      <c r="K68" s="6">
        <f>SUM(G68/G64*100)</f>
        <v>16.190874343048257</v>
      </c>
      <c r="L68" s="192"/>
      <c r="M68" s="187"/>
      <c r="N68" s="98"/>
      <c r="O68" s="374" t="s">
        <v>8</v>
      </c>
      <c r="P68" s="438" t="s">
        <v>14</v>
      </c>
      <c r="Q68" s="439"/>
      <c r="R68" s="439"/>
      <c r="S68" s="440"/>
      <c r="T68" s="112">
        <v>442805</v>
      </c>
      <c r="U68" s="55">
        <v>451427</v>
      </c>
      <c r="V68" s="88">
        <f t="shared" si="6"/>
        <v>-8622</v>
      </c>
      <c r="W68" s="113">
        <f t="shared" si="9"/>
        <v>-1.9099433573977649</v>
      </c>
      <c r="X68" s="9">
        <f>SUM(T68/T64*100)</f>
        <v>33.30385058262277</v>
      </c>
    </row>
    <row r="69" spans="1:24" s="3" customFormat="1" ht="25.5" customHeight="1">
      <c r="A69" s="98"/>
      <c r="B69" s="375"/>
      <c r="C69" s="344" t="s">
        <v>15</v>
      </c>
      <c r="D69" s="422"/>
      <c r="E69" s="422"/>
      <c r="F69" s="423"/>
      <c r="G69" s="114">
        <v>14033</v>
      </c>
      <c r="H69" s="40">
        <v>19890</v>
      </c>
      <c r="I69" s="110">
        <f t="shared" si="4"/>
        <v>-5857</v>
      </c>
      <c r="J69" s="11">
        <f t="shared" si="8"/>
        <v>-29.446958270487684</v>
      </c>
      <c r="K69" s="11">
        <f>SUM(G69/G64*100)</f>
        <v>83.80912565695175</v>
      </c>
      <c r="L69" s="192"/>
      <c r="M69" s="187"/>
      <c r="N69" s="98"/>
      <c r="O69" s="375"/>
      <c r="P69" s="344" t="s">
        <v>15</v>
      </c>
      <c r="Q69" s="422"/>
      <c r="R69" s="422"/>
      <c r="S69" s="423"/>
      <c r="T69" s="114">
        <v>886786</v>
      </c>
      <c r="U69" s="40">
        <v>1179779</v>
      </c>
      <c r="V69" s="110">
        <f t="shared" si="6"/>
        <v>-292993</v>
      </c>
      <c r="W69" s="11">
        <f t="shared" si="9"/>
        <v>-24.834566473890447</v>
      </c>
      <c r="X69" s="16">
        <f>SUM(T69/T64*100)</f>
        <v>66.69614941737723</v>
      </c>
    </row>
    <row r="70" spans="1:24" s="3" customFormat="1" ht="15" customHeight="1">
      <c r="A70" s="98"/>
      <c r="B70" s="375"/>
      <c r="C70" s="249"/>
      <c r="D70" s="395" t="s">
        <v>6</v>
      </c>
      <c r="E70" s="396"/>
      <c r="F70" s="397"/>
      <c r="G70" s="114">
        <v>1493</v>
      </c>
      <c r="H70" s="40">
        <v>1621</v>
      </c>
      <c r="I70" s="110">
        <f t="shared" si="4"/>
        <v>-128</v>
      </c>
      <c r="J70" s="11">
        <f t="shared" si="8"/>
        <v>-7.896360271437388</v>
      </c>
      <c r="K70" s="11">
        <f>SUM(G70/G64*100)</f>
        <v>8.916626851409461</v>
      </c>
      <c r="L70" s="192"/>
      <c r="M70" s="187"/>
      <c r="N70" s="98"/>
      <c r="O70" s="375"/>
      <c r="P70" s="249"/>
      <c r="Q70" s="395" t="s">
        <v>6</v>
      </c>
      <c r="R70" s="396"/>
      <c r="S70" s="397"/>
      <c r="T70" s="114">
        <v>164790</v>
      </c>
      <c r="U70" s="40">
        <v>224610</v>
      </c>
      <c r="V70" s="110">
        <f t="shared" si="6"/>
        <v>-59820</v>
      </c>
      <c r="W70" s="11">
        <f t="shared" si="9"/>
        <v>-26.632830239081073</v>
      </c>
      <c r="X70" s="16">
        <f>SUM(T70/T64*100)</f>
        <v>12.394036963246592</v>
      </c>
    </row>
    <row r="71" spans="1:24" s="3" customFormat="1" ht="15" customHeight="1">
      <c r="A71" s="98"/>
      <c r="B71" s="375"/>
      <c r="C71" s="249"/>
      <c r="D71" s="395" t="s">
        <v>7</v>
      </c>
      <c r="E71" s="396"/>
      <c r="F71" s="397"/>
      <c r="G71" s="220">
        <v>12540</v>
      </c>
      <c r="H71" s="17">
        <v>18269</v>
      </c>
      <c r="I71" s="115">
        <f t="shared" si="4"/>
        <v>-5729</v>
      </c>
      <c r="J71" s="19">
        <f t="shared" si="8"/>
        <v>-31.359132957468944</v>
      </c>
      <c r="K71" s="19">
        <f>SUM(G71/G64*100)</f>
        <v>74.89249880554229</v>
      </c>
      <c r="L71" s="192"/>
      <c r="M71" s="187"/>
      <c r="N71" s="98"/>
      <c r="O71" s="375"/>
      <c r="P71" s="249"/>
      <c r="Q71" s="395" t="s">
        <v>7</v>
      </c>
      <c r="R71" s="396"/>
      <c r="S71" s="397"/>
      <c r="T71" s="220">
        <v>721996</v>
      </c>
      <c r="U71" s="17">
        <v>955169</v>
      </c>
      <c r="V71" s="115">
        <f t="shared" si="6"/>
        <v>-233173</v>
      </c>
      <c r="W71" s="19">
        <f t="shared" si="9"/>
        <v>-24.41170096600706</v>
      </c>
      <c r="X71" s="208">
        <f>SUM(T71/T64*100)</f>
        <v>54.302112454130636</v>
      </c>
    </row>
    <row r="72" spans="1:24" s="3" customFormat="1" ht="25.5" customHeight="1" thickBot="1">
      <c r="A72" s="302"/>
      <c r="B72" s="376"/>
      <c r="C72" s="361" t="s">
        <v>36</v>
      </c>
      <c r="D72" s="407"/>
      <c r="E72" s="407"/>
      <c r="F72" s="408"/>
      <c r="G72" s="116">
        <f>SUM(G69/G64)*100</f>
        <v>83.80912565695175</v>
      </c>
      <c r="H72" s="117">
        <f>SUM(H69/H64)*100</f>
        <v>90.76389522679565</v>
      </c>
      <c r="I72" s="118">
        <v>0.6</v>
      </c>
      <c r="J72" s="84" t="s">
        <v>114</v>
      </c>
      <c r="K72" s="84" t="s">
        <v>114</v>
      </c>
      <c r="L72" s="62"/>
      <c r="M72" s="193"/>
      <c r="N72" s="302"/>
      <c r="O72" s="376"/>
      <c r="P72" s="361" t="s">
        <v>36</v>
      </c>
      <c r="Q72" s="407"/>
      <c r="R72" s="407"/>
      <c r="S72" s="408"/>
      <c r="T72" s="116">
        <f>SUM(T69/T64)*100</f>
        <v>66.69614941737723</v>
      </c>
      <c r="U72" s="117">
        <f>SUM(U69/U64)*100</f>
        <v>72.3255677087995</v>
      </c>
      <c r="V72" s="118">
        <v>0.6</v>
      </c>
      <c r="W72" s="84" t="s">
        <v>114</v>
      </c>
      <c r="X72" s="209" t="s">
        <v>114</v>
      </c>
    </row>
    <row r="73" spans="1:24" s="3" customFormat="1" ht="25.5" customHeight="1" thickTop="1">
      <c r="A73" s="298" t="s">
        <v>50</v>
      </c>
      <c r="B73" s="432" t="s">
        <v>120</v>
      </c>
      <c r="C73" s="433"/>
      <c r="D73" s="433"/>
      <c r="E73" s="433"/>
      <c r="F73" s="434"/>
      <c r="G73" s="227">
        <v>23798</v>
      </c>
      <c r="H73" s="119">
        <v>29634</v>
      </c>
      <c r="I73" s="120">
        <f aca="true" t="shared" si="10" ref="I73:I87">SUM(G73-H73)</f>
        <v>-5836</v>
      </c>
      <c r="J73" s="121">
        <f aca="true" t="shared" si="11" ref="J73:J86">SUM(G73/H73*100)-100</f>
        <v>-19.693595194708777</v>
      </c>
      <c r="K73" s="6">
        <f>SUM(G73/G73*100)</f>
        <v>100</v>
      </c>
      <c r="L73" s="192"/>
      <c r="M73" s="187"/>
      <c r="N73" s="298" t="s">
        <v>50</v>
      </c>
      <c r="O73" s="432" t="s">
        <v>120</v>
      </c>
      <c r="P73" s="433"/>
      <c r="Q73" s="433"/>
      <c r="R73" s="433"/>
      <c r="S73" s="434"/>
      <c r="T73" s="227">
        <v>2155082</v>
      </c>
      <c r="U73" s="119">
        <v>2527948</v>
      </c>
      <c r="V73" s="120">
        <f aca="true" t="shared" si="12" ref="V73:V87">SUM(T73-U73)</f>
        <v>-372866</v>
      </c>
      <c r="W73" s="121">
        <f aca="true" t="shared" si="13" ref="W73:W86">SUM(T73/U73*100)-100</f>
        <v>-14.749749599279724</v>
      </c>
      <c r="X73" s="9">
        <f>SUM(T73/T73*100)</f>
        <v>100</v>
      </c>
    </row>
    <row r="74" spans="1:24" s="3" customFormat="1" ht="25.5" customHeight="1">
      <c r="A74" s="62" t="s">
        <v>110</v>
      </c>
      <c r="B74" s="254"/>
      <c r="C74" s="304" t="s">
        <v>84</v>
      </c>
      <c r="D74" s="293"/>
      <c r="E74" s="300"/>
      <c r="F74" s="301"/>
      <c r="G74" s="54">
        <v>16744</v>
      </c>
      <c r="H74" s="55">
        <v>21914</v>
      </c>
      <c r="I74" s="18">
        <f t="shared" si="10"/>
        <v>-5170</v>
      </c>
      <c r="J74" s="11">
        <f t="shared" si="11"/>
        <v>-23.59222414894589</v>
      </c>
      <c r="K74" s="11">
        <f>SUM(G74/G73*100)</f>
        <v>70.35885368518363</v>
      </c>
      <c r="L74" s="192"/>
      <c r="M74" s="187"/>
      <c r="N74" s="62" t="s">
        <v>110</v>
      </c>
      <c r="O74" s="254"/>
      <c r="P74" s="304" t="s">
        <v>84</v>
      </c>
      <c r="Q74" s="293"/>
      <c r="R74" s="300"/>
      <c r="S74" s="301"/>
      <c r="T74" s="54">
        <v>1329591</v>
      </c>
      <c r="U74" s="55">
        <v>1631206</v>
      </c>
      <c r="V74" s="18">
        <f t="shared" si="12"/>
        <v>-301615</v>
      </c>
      <c r="W74" s="11">
        <f t="shared" si="13"/>
        <v>-18.490307171503787</v>
      </c>
      <c r="X74" s="16">
        <f>SUM(T74/T73*100)</f>
        <v>61.69561065425817</v>
      </c>
    </row>
    <row r="75" spans="1:24" s="3" customFormat="1" ht="25.5" customHeight="1">
      <c r="A75" s="98"/>
      <c r="B75" s="254"/>
      <c r="C75" s="305" t="s">
        <v>85</v>
      </c>
      <c r="D75" s="293"/>
      <c r="E75" s="306"/>
      <c r="F75" s="307"/>
      <c r="G75" s="54">
        <v>7054</v>
      </c>
      <c r="H75" s="55">
        <v>7720</v>
      </c>
      <c r="I75" s="18">
        <f t="shared" si="10"/>
        <v>-666</v>
      </c>
      <c r="J75" s="11">
        <f t="shared" si="11"/>
        <v>-8.626943005181346</v>
      </c>
      <c r="K75" s="11">
        <f>SUM(G75/G73*100)</f>
        <v>29.641146314816368</v>
      </c>
      <c r="L75" s="192"/>
      <c r="M75" s="187"/>
      <c r="N75" s="98"/>
      <c r="O75" s="254"/>
      <c r="P75" s="305" t="s">
        <v>85</v>
      </c>
      <c r="Q75" s="293"/>
      <c r="R75" s="306"/>
      <c r="S75" s="307"/>
      <c r="T75" s="54">
        <v>825491</v>
      </c>
      <c r="U75" s="55">
        <v>896742</v>
      </c>
      <c r="V75" s="18">
        <f t="shared" si="12"/>
        <v>-71251</v>
      </c>
      <c r="W75" s="11">
        <f t="shared" si="13"/>
        <v>-7.945540634876025</v>
      </c>
      <c r="X75" s="16">
        <f>SUM(T75/T73*100)</f>
        <v>38.30438934574183</v>
      </c>
    </row>
    <row r="76" spans="1:24" s="3" customFormat="1" ht="25.5" customHeight="1" thickBot="1">
      <c r="A76" s="271"/>
      <c r="B76" s="308" t="s">
        <v>86</v>
      </c>
      <c r="C76" s="309"/>
      <c r="D76" s="310"/>
      <c r="E76" s="311"/>
      <c r="F76" s="312"/>
      <c r="G76" s="228">
        <v>34963</v>
      </c>
      <c r="H76" s="80">
        <v>32240</v>
      </c>
      <c r="I76" s="81">
        <f t="shared" si="10"/>
        <v>2723</v>
      </c>
      <c r="J76" s="82">
        <f t="shared" si="11"/>
        <v>8.446029776674948</v>
      </c>
      <c r="K76" s="124" t="s">
        <v>114</v>
      </c>
      <c r="L76" s="62"/>
      <c r="M76" s="193"/>
      <c r="N76" s="271"/>
      <c r="O76" s="308" t="s">
        <v>86</v>
      </c>
      <c r="P76" s="309"/>
      <c r="Q76" s="310"/>
      <c r="R76" s="311"/>
      <c r="S76" s="312"/>
      <c r="T76" s="228">
        <v>1413727</v>
      </c>
      <c r="U76" s="80">
        <v>1374160</v>
      </c>
      <c r="V76" s="81">
        <f t="shared" si="12"/>
        <v>39567</v>
      </c>
      <c r="W76" s="82">
        <f t="shared" si="13"/>
        <v>2.879359026605343</v>
      </c>
      <c r="X76" s="210" t="s">
        <v>114</v>
      </c>
    </row>
    <row r="77" spans="1:24" s="3" customFormat="1" ht="25.5" customHeight="1" thickTop="1">
      <c r="A77" s="430" t="s">
        <v>103</v>
      </c>
      <c r="B77" s="356" t="s">
        <v>3</v>
      </c>
      <c r="C77" s="357"/>
      <c r="D77" s="358"/>
      <c r="E77" s="359"/>
      <c r="F77" s="360"/>
      <c r="G77" s="125">
        <v>16183</v>
      </c>
      <c r="H77" s="201">
        <v>22881</v>
      </c>
      <c r="I77" s="126">
        <f t="shared" si="10"/>
        <v>-6698</v>
      </c>
      <c r="J77" s="37">
        <f t="shared" si="11"/>
        <v>-29.273196101568985</v>
      </c>
      <c r="K77" s="6">
        <f>SUM(G77/G77*100)</f>
        <v>100</v>
      </c>
      <c r="L77" s="192"/>
      <c r="M77" s="187"/>
      <c r="N77" s="430" t="s">
        <v>103</v>
      </c>
      <c r="O77" s="356" t="s">
        <v>3</v>
      </c>
      <c r="P77" s="357"/>
      <c r="Q77" s="358"/>
      <c r="R77" s="359"/>
      <c r="S77" s="360"/>
      <c r="T77" s="125">
        <v>1676606</v>
      </c>
      <c r="U77" s="201">
        <v>2329928</v>
      </c>
      <c r="V77" s="126">
        <f t="shared" si="12"/>
        <v>-653322</v>
      </c>
      <c r="W77" s="37">
        <f t="shared" si="13"/>
        <v>-28.040437301066817</v>
      </c>
      <c r="X77" s="9">
        <f>SUM(T77/T77*100)</f>
        <v>100</v>
      </c>
    </row>
    <row r="78" spans="1:24" s="3" customFormat="1" ht="25.5" customHeight="1">
      <c r="A78" s="431"/>
      <c r="B78" s="244"/>
      <c r="C78" s="135" t="s">
        <v>38</v>
      </c>
      <c r="D78" s="136"/>
      <c r="E78" s="136"/>
      <c r="F78" s="137"/>
      <c r="G78" s="229">
        <v>1824</v>
      </c>
      <c r="H78" s="230">
        <v>980</v>
      </c>
      <c r="I78" s="10">
        <f t="shared" si="10"/>
        <v>844</v>
      </c>
      <c r="J78" s="15">
        <f t="shared" si="11"/>
        <v>86.12244897959184</v>
      </c>
      <c r="K78" s="11">
        <f>SUM(G78/G77*100)</f>
        <v>11.271086943088427</v>
      </c>
      <c r="L78" s="192"/>
      <c r="M78" s="187"/>
      <c r="N78" s="431"/>
      <c r="O78" s="244"/>
      <c r="P78" s="135" t="s">
        <v>38</v>
      </c>
      <c r="Q78" s="136"/>
      <c r="R78" s="136"/>
      <c r="S78" s="137"/>
      <c r="T78" s="229">
        <v>220152</v>
      </c>
      <c r="U78" s="230">
        <v>153579</v>
      </c>
      <c r="V78" s="10">
        <f t="shared" si="12"/>
        <v>66573</v>
      </c>
      <c r="W78" s="15">
        <f t="shared" si="13"/>
        <v>43.347723321547846</v>
      </c>
      <c r="X78" s="16">
        <f>SUM(T78/T77*100)</f>
        <v>13.130813083097639</v>
      </c>
    </row>
    <row r="79" spans="1:24" s="3" customFormat="1" ht="25.5" customHeight="1" thickBot="1">
      <c r="A79" s="292" t="s">
        <v>102</v>
      </c>
      <c r="B79" s="272"/>
      <c r="C79" s="303" t="s">
        <v>39</v>
      </c>
      <c r="D79" s="269"/>
      <c r="E79" s="269"/>
      <c r="F79" s="270"/>
      <c r="G79" s="127">
        <v>14359</v>
      </c>
      <c r="H79" s="128">
        <v>21901</v>
      </c>
      <c r="I79" s="81">
        <f t="shared" si="10"/>
        <v>-7542</v>
      </c>
      <c r="J79" s="82">
        <f t="shared" si="11"/>
        <v>-34.436783708506454</v>
      </c>
      <c r="K79" s="82">
        <f>SUM(G79/G77*100)</f>
        <v>88.72891305691158</v>
      </c>
      <c r="L79" s="192"/>
      <c r="M79" s="187"/>
      <c r="N79" s="292" t="s">
        <v>102</v>
      </c>
      <c r="O79" s="272"/>
      <c r="P79" s="303" t="s">
        <v>39</v>
      </c>
      <c r="Q79" s="269"/>
      <c r="R79" s="269"/>
      <c r="S79" s="270"/>
      <c r="T79" s="127">
        <v>1456454</v>
      </c>
      <c r="U79" s="128">
        <v>2176349</v>
      </c>
      <c r="V79" s="81">
        <f t="shared" si="12"/>
        <v>-719895</v>
      </c>
      <c r="W79" s="82">
        <f t="shared" si="13"/>
        <v>-33.0781046606036</v>
      </c>
      <c r="X79" s="86">
        <f>SUM(T79/T77*100)</f>
        <v>86.86918691690236</v>
      </c>
    </row>
    <row r="80" spans="1:24" s="3" customFormat="1" ht="25.5" customHeight="1" thickTop="1">
      <c r="A80" s="313" t="s">
        <v>29</v>
      </c>
      <c r="B80" s="356" t="s">
        <v>3</v>
      </c>
      <c r="C80" s="357"/>
      <c r="D80" s="358"/>
      <c r="E80" s="359"/>
      <c r="F80" s="360"/>
      <c r="G80" s="125">
        <f>SUM(G81:G86)</f>
        <v>21043</v>
      </c>
      <c r="H80" s="119">
        <f>SUM(H81:H86)</f>
        <v>24255</v>
      </c>
      <c r="I80" s="126">
        <f t="shared" si="10"/>
        <v>-3212</v>
      </c>
      <c r="J80" s="33">
        <f t="shared" si="11"/>
        <v>-13.24263038548753</v>
      </c>
      <c r="K80" s="6">
        <f>SUM(G80/G80*100)</f>
        <v>100</v>
      </c>
      <c r="L80" s="192"/>
      <c r="M80" s="187"/>
      <c r="N80" s="313" t="s">
        <v>29</v>
      </c>
      <c r="O80" s="356" t="s">
        <v>3</v>
      </c>
      <c r="P80" s="357"/>
      <c r="Q80" s="358"/>
      <c r="R80" s="359"/>
      <c r="S80" s="360"/>
      <c r="T80" s="125">
        <f>SUM(T81:T86)</f>
        <v>2096662</v>
      </c>
      <c r="U80" s="119">
        <f>SUM(U81:U86)</f>
        <v>2605736</v>
      </c>
      <c r="V80" s="126">
        <f t="shared" si="12"/>
        <v>-509074</v>
      </c>
      <c r="W80" s="33">
        <f t="shared" si="13"/>
        <v>-19.53666833478141</v>
      </c>
      <c r="X80" s="9">
        <f>SUM(T80/T80*100)</f>
        <v>100</v>
      </c>
    </row>
    <row r="81" spans="1:24" s="3" customFormat="1" ht="15" customHeight="1">
      <c r="A81" s="169" t="s">
        <v>102</v>
      </c>
      <c r="B81" s="290"/>
      <c r="C81" s="299" t="s">
        <v>87</v>
      </c>
      <c r="D81" s="315"/>
      <c r="E81" s="136"/>
      <c r="F81" s="137"/>
      <c r="G81" s="221">
        <f>175+102+60+88+52+43</f>
        <v>520</v>
      </c>
      <c r="H81" s="339">
        <v>881</v>
      </c>
      <c r="I81" s="22">
        <f t="shared" si="10"/>
        <v>-361</v>
      </c>
      <c r="J81" s="170">
        <f t="shared" si="11"/>
        <v>-40.97616345062429</v>
      </c>
      <c r="K81" s="171">
        <f>SUM(G81/G80*100)</f>
        <v>2.471130542223067</v>
      </c>
      <c r="L81" s="198"/>
      <c r="M81" s="194"/>
      <c r="N81" s="169" t="s">
        <v>102</v>
      </c>
      <c r="O81" s="290"/>
      <c r="P81" s="299" t="s">
        <v>87</v>
      </c>
      <c r="Q81" s="315"/>
      <c r="R81" s="136"/>
      <c r="S81" s="137"/>
      <c r="T81" s="221">
        <f>(13989+12514+15192)+(9118+5898+7003)</f>
        <v>63714</v>
      </c>
      <c r="U81" s="339">
        <v>90073</v>
      </c>
      <c r="V81" s="22">
        <f t="shared" si="12"/>
        <v>-26359</v>
      </c>
      <c r="W81" s="170">
        <f t="shared" si="13"/>
        <v>-29.264041388651435</v>
      </c>
      <c r="X81" s="211">
        <f>SUM(T81/T80*100)</f>
        <v>3.038830293103991</v>
      </c>
    </row>
    <row r="82" spans="1:24" s="3" customFormat="1" ht="15" customHeight="1">
      <c r="A82" s="314"/>
      <c r="B82" s="290"/>
      <c r="C82" s="299" t="s">
        <v>61</v>
      </c>
      <c r="D82" s="315"/>
      <c r="E82" s="136"/>
      <c r="F82" s="137"/>
      <c r="G82" s="130">
        <f>88+111+80+103</f>
        <v>382</v>
      </c>
      <c r="H82" s="340">
        <v>401</v>
      </c>
      <c r="I82" s="22">
        <f t="shared" si="10"/>
        <v>-19</v>
      </c>
      <c r="J82" s="170">
        <f t="shared" si="11"/>
        <v>-4.738154613466335</v>
      </c>
      <c r="K82" s="171">
        <f>SUM(G82/G80*100)</f>
        <v>1.8153305137100224</v>
      </c>
      <c r="L82" s="198"/>
      <c r="M82" s="194"/>
      <c r="N82" s="314"/>
      <c r="O82" s="290"/>
      <c r="P82" s="299" t="s">
        <v>61</v>
      </c>
      <c r="Q82" s="315"/>
      <c r="R82" s="136"/>
      <c r="S82" s="137"/>
      <c r="T82" s="130">
        <f>(21289+25353)+(12757+17909)</f>
        <v>77308</v>
      </c>
      <c r="U82" s="340">
        <v>87087</v>
      </c>
      <c r="V82" s="22">
        <f t="shared" si="12"/>
        <v>-9779</v>
      </c>
      <c r="W82" s="170">
        <f t="shared" si="13"/>
        <v>-11.229000884173303</v>
      </c>
      <c r="X82" s="211">
        <f>SUM(T82/T80*100)</f>
        <v>3.687194216330529</v>
      </c>
    </row>
    <row r="83" spans="1:24" s="3" customFormat="1" ht="15" customHeight="1">
      <c r="A83" s="314"/>
      <c r="B83" s="290"/>
      <c r="C83" s="299" t="s">
        <v>62</v>
      </c>
      <c r="D83" s="315"/>
      <c r="E83" s="136"/>
      <c r="F83" s="137"/>
      <c r="G83" s="130">
        <f>132+137+120+125</f>
        <v>514</v>
      </c>
      <c r="H83" s="340">
        <v>481</v>
      </c>
      <c r="I83" s="22">
        <f t="shared" si="10"/>
        <v>33</v>
      </c>
      <c r="J83" s="170">
        <f t="shared" si="11"/>
        <v>6.8607068607068555</v>
      </c>
      <c r="K83" s="171">
        <f>SUM(G83/G80*100)</f>
        <v>2.4426174975051085</v>
      </c>
      <c r="L83" s="198"/>
      <c r="M83" s="194"/>
      <c r="N83" s="314"/>
      <c r="O83" s="290"/>
      <c r="P83" s="299" t="s">
        <v>62</v>
      </c>
      <c r="Q83" s="315"/>
      <c r="R83" s="136"/>
      <c r="S83" s="137"/>
      <c r="T83" s="130">
        <f>(27319+30011)+(23603+29396)</f>
        <v>110329</v>
      </c>
      <c r="U83" s="340">
        <v>146645</v>
      </c>
      <c r="V83" s="22">
        <f t="shared" si="12"/>
        <v>-36316</v>
      </c>
      <c r="W83" s="170">
        <f t="shared" si="13"/>
        <v>-24.764567492925096</v>
      </c>
      <c r="X83" s="211">
        <f>SUM(T83/T80*100)</f>
        <v>5.2621261796131185</v>
      </c>
    </row>
    <row r="84" spans="1:24" s="3" customFormat="1" ht="15" customHeight="1">
      <c r="A84" s="314"/>
      <c r="B84" s="290"/>
      <c r="C84" s="299" t="s">
        <v>63</v>
      </c>
      <c r="D84" s="315"/>
      <c r="E84" s="136"/>
      <c r="F84" s="137"/>
      <c r="G84" s="130">
        <f>141+253+191+474</f>
        <v>1059</v>
      </c>
      <c r="H84" s="340">
        <v>1688</v>
      </c>
      <c r="I84" s="22">
        <f t="shared" si="10"/>
        <v>-629</v>
      </c>
      <c r="J84" s="170">
        <f t="shared" si="11"/>
        <v>-37.26303317535545</v>
      </c>
      <c r="K84" s="171">
        <f>SUM(G84/G80*100)</f>
        <v>5.032552392719669</v>
      </c>
      <c r="L84" s="198"/>
      <c r="M84" s="194"/>
      <c r="N84" s="314"/>
      <c r="O84" s="290"/>
      <c r="P84" s="299" t="s">
        <v>63</v>
      </c>
      <c r="Q84" s="315"/>
      <c r="R84" s="136"/>
      <c r="S84" s="137"/>
      <c r="T84" s="130">
        <f>(42455+64834)+(46304+80725)</f>
        <v>234318</v>
      </c>
      <c r="U84" s="340">
        <v>357873</v>
      </c>
      <c r="V84" s="22">
        <f t="shared" si="12"/>
        <v>-123555</v>
      </c>
      <c r="W84" s="170">
        <f t="shared" si="13"/>
        <v>-34.52481746317828</v>
      </c>
      <c r="X84" s="211">
        <f>SUM(T84/T80*100)</f>
        <v>11.17576414319523</v>
      </c>
    </row>
    <row r="85" spans="1:24" s="3" customFormat="1" ht="15" customHeight="1">
      <c r="A85" s="314"/>
      <c r="B85" s="290"/>
      <c r="C85" s="299" t="s">
        <v>64</v>
      </c>
      <c r="D85" s="315"/>
      <c r="E85" s="136"/>
      <c r="F85" s="137"/>
      <c r="G85" s="130">
        <f>1090+1381</f>
        <v>2471</v>
      </c>
      <c r="H85" s="340">
        <v>3131</v>
      </c>
      <c r="I85" s="22">
        <f t="shared" si="10"/>
        <v>-660</v>
      </c>
      <c r="J85" s="170">
        <f t="shared" si="11"/>
        <v>-21.079527307569464</v>
      </c>
      <c r="K85" s="171">
        <f>SUM(G85/G80*100)</f>
        <v>11.74262224967923</v>
      </c>
      <c r="L85" s="198"/>
      <c r="M85" s="194"/>
      <c r="N85" s="314"/>
      <c r="O85" s="290"/>
      <c r="P85" s="299" t="s">
        <v>64</v>
      </c>
      <c r="Q85" s="315"/>
      <c r="R85" s="136"/>
      <c r="S85" s="137"/>
      <c r="T85" s="130">
        <f>135377+144941</f>
        <v>280318</v>
      </c>
      <c r="U85" s="340">
        <v>319022</v>
      </c>
      <c r="V85" s="22">
        <f t="shared" si="12"/>
        <v>-38704</v>
      </c>
      <c r="W85" s="170">
        <f t="shared" si="13"/>
        <v>-12.132078665421204</v>
      </c>
      <c r="X85" s="211">
        <f>SUM(T85/T80*100)</f>
        <v>13.369727690967833</v>
      </c>
    </row>
    <row r="86" spans="1:24" s="3" customFormat="1" ht="15" customHeight="1">
      <c r="A86" s="314"/>
      <c r="B86" s="290"/>
      <c r="C86" s="299" t="s">
        <v>65</v>
      </c>
      <c r="D86" s="315"/>
      <c r="E86" s="136"/>
      <c r="F86" s="137"/>
      <c r="G86" s="130">
        <f>(2483+2163+1827+1331+660)+(2093+2034+1666+1250+590)</f>
        <v>16097</v>
      </c>
      <c r="H86" s="340">
        <v>17673</v>
      </c>
      <c r="I86" s="22">
        <f t="shared" si="10"/>
        <v>-1576</v>
      </c>
      <c r="J86" s="170">
        <f t="shared" si="11"/>
        <v>-8.917557856617435</v>
      </c>
      <c r="K86" s="171">
        <f>SUM(G86/G80*100)</f>
        <v>76.4957468041629</v>
      </c>
      <c r="L86" s="198"/>
      <c r="M86" s="194"/>
      <c r="N86" s="314"/>
      <c r="O86" s="290"/>
      <c r="P86" s="299" t="s">
        <v>65</v>
      </c>
      <c r="Q86" s="315"/>
      <c r="R86" s="136"/>
      <c r="S86" s="137"/>
      <c r="T86" s="130">
        <f>(183902+161846+164236+123989+65311)+(162871+158934+149072+104290+56224)</f>
        <v>1330675</v>
      </c>
      <c r="U86" s="340">
        <v>1605036</v>
      </c>
      <c r="V86" s="22">
        <f t="shared" si="12"/>
        <v>-274361</v>
      </c>
      <c r="W86" s="170">
        <f t="shared" si="13"/>
        <v>-17.093759890743883</v>
      </c>
      <c r="X86" s="211">
        <f>SUM(T86/T80*100)</f>
        <v>63.46635747678929</v>
      </c>
    </row>
    <row r="87" spans="1:24" s="3" customFormat="1" ht="25.5" customHeight="1" thickBot="1">
      <c r="A87" s="316"/>
      <c r="B87" s="317"/>
      <c r="C87" s="392" t="s">
        <v>30</v>
      </c>
      <c r="D87" s="393"/>
      <c r="E87" s="393"/>
      <c r="F87" s="394"/>
      <c r="G87" s="239">
        <v>69.2</v>
      </c>
      <c r="H87" s="240">
        <v>68.5</v>
      </c>
      <c r="I87" s="212">
        <f t="shared" si="10"/>
        <v>0.7000000000000028</v>
      </c>
      <c r="J87" s="213" t="s">
        <v>114</v>
      </c>
      <c r="K87" s="214" t="s">
        <v>114</v>
      </c>
      <c r="L87" s="62"/>
      <c r="M87" s="193"/>
      <c r="N87" s="316"/>
      <c r="O87" s="317"/>
      <c r="P87" s="392" t="s">
        <v>30</v>
      </c>
      <c r="Q87" s="393"/>
      <c r="R87" s="393"/>
      <c r="S87" s="394"/>
      <c r="T87" s="239">
        <v>66.4</v>
      </c>
      <c r="U87" s="341">
        <v>65.8</v>
      </c>
      <c r="V87" s="212">
        <f t="shared" si="12"/>
        <v>0.6000000000000085</v>
      </c>
      <c r="W87" s="213" t="s">
        <v>114</v>
      </c>
      <c r="X87" s="214" t="s">
        <v>114</v>
      </c>
    </row>
    <row r="88" spans="1:24" s="3" customFormat="1" ht="33" customHeight="1">
      <c r="A88" s="426" t="s">
        <v>133</v>
      </c>
      <c r="B88" s="427"/>
      <c r="C88" s="427"/>
      <c r="D88" s="427"/>
      <c r="E88" s="427"/>
      <c r="F88" s="427"/>
      <c r="G88" s="427"/>
      <c r="H88" s="427"/>
      <c r="I88" s="427"/>
      <c r="J88" s="427"/>
      <c r="K88" s="427"/>
      <c r="L88" s="174"/>
      <c r="M88" s="174"/>
      <c r="N88" s="426" t="s">
        <v>133</v>
      </c>
      <c r="O88" s="427"/>
      <c r="P88" s="427"/>
      <c r="Q88" s="427"/>
      <c r="R88" s="427"/>
      <c r="S88" s="427"/>
      <c r="T88" s="427"/>
      <c r="U88" s="427"/>
      <c r="V88" s="427"/>
      <c r="W88" s="427"/>
      <c r="X88" s="427"/>
    </row>
    <row r="89" spans="1:24" s="3" customFormat="1" ht="33" customHeight="1">
      <c r="A89" s="168" t="s">
        <v>58</v>
      </c>
      <c r="B89" s="168"/>
      <c r="C89" s="168"/>
      <c r="D89" s="168"/>
      <c r="E89" s="168"/>
      <c r="F89" s="168"/>
      <c r="G89" s="168"/>
      <c r="H89" s="168"/>
      <c r="I89" s="168"/>
      <c r="J89" s="168"/>
      <c r="K89" s="168"/>
      <c r="L89" s="168"/>
      <c r="M89" s="168"/>
      <c r="N89" s="168" t="s">
        <v>58</v>
      </c>
      <c r="O89" s="168"/>
      <c r="P89" s="168"/>
      <c r="Q89" s="168"/>
      <c r="R89" s="168"/>
      <c r="S89" s="168"/>
      <c r="T89" s="168"/>
      <c r="U89" s="168"/>
      <c r="V89" s="168"/>
      <c r="W89" s="168"/>
      <c r="X89" s="168"/>
    </row>
    <row r="90" spans="1:24" s="3" customFormat="1" ht="27" customHeight="1">
      <c r="A90" s="428" t="s">
        <v>126</v>
      </c>
      <c r="B90" s="429"/>
      <c r="C90" s="429"/>
      <c r="D90" s="429"/>
      <c r="E90" s="429"/>
      <c r="F90" s="429"/>
      <c r="G90" s="429"/>
      <c r="H90" s="429"/>
      <c r="I90" s="429"/>
      <c r="J90" s="429"/>
      <c r="K90" s="429"/>
      <c r="L90" s="161"/>
      <c r="M90" s="161"/>
      <c r="N90" s="428" t="s">
        <v>132</v>
      </c>
      <c r="O90" s="429"/>
      <c r="P90" s="429"/>
      <c r="Q90" s="429"/>
      <c r="R90" s="429"/>
      <c r="S90" s="429"/>
      <c r="T90" s="429"/>
      <c r="U90" s="429"/>
      <c r="V90" s="429"/>
      <c r="W90" s="429"/>
      <c r="X90" s="429"/>
    </row>
    <row r="91" spans="1:24" s="3" customFormat="1" ht="27" customHeight="1" thickBot="1">
      <c r="A91" s="217"/>
      <c r="B91" s="217"/>
      <c r="C91" s="217"/>
      <c r="D91" s="217"/>
      <c r="E91" s="217"/>
      <c r="F91" s="217"/>
      <c r="G91" s="162"/>
      <c r="H91" s="162"/>
      <c r="I91" s="162"/>
      <c r="J91" s="162"/>
      <c r="K91" s="163" t="s">
        <v>127</v>
      </c>
      <c r="L91" s="163"/>
      <c r="M91" s="162"/>
      <c r="N91" s="162"/>
      <c r="O91" s="162"/>
      <c r="P91" s="162"/>
      <c r="Q91" s="162"/>
      <c r="R91" s="162"/>
      <c r="S91" s="162"/>
      <c r="T91" s="162"/>
      <c r="U91" s="162"/>
      <c r="V91" s="164"/>
      <c r="W91" s="164"/>
      <c r="X91" s="163" t="s">
        <v>127</v>
      </c>
    </row>
    <row r="92" spans="1:24" s="3" customFormat="1" ht="22.5" customHeight="1">
      <c r="A92" s="380" t="s">
        <v>113</v>
      </c>
      <c r="B92" s="381"/>
      <c r="C92" s="381"/>
      <c r="D92" s="381"/>
      <c r="E92" s="381"/>
      <c r="F92" s="381"/>
      <c r="G92" s="377" t="s">
        <v>90</v>
      </c>
      <c r="H92" s="378"/>
      <c r="I92" s="378"/>
      <c r="J92" s="378"/>
      <c r="K92" s="379"/>
      <c r="L92" s="185"/>
      <c r="M92" s="188"/>
      <c r="N92" s="380" t="s">
        <v>113</v>
      </c>
      <c r="O92" s="381"/>
      <c r="P92" s="381"/>
      <c r="Q92" s="381"/>
      <c r="R92" s="381"/>
      <c r="S92" s="381"/>
      <c r="T92" s="377" t="s">
        <v>97</v>
      </c>
      <c r="U92" s="378"/>
      <c r="V92" s="378"/>
      <c r="W92" s="378"/>
      <c r="X92" s="379"/>
    </row>
    <row r="93" spans="1:24" s="3" customFormat="1" ht="22.5" customHeight="1">
      <c r="A93" s="382"/>
      <c r="B93" s="383"/>
      <c r="C93" s="383"/>
      <c r="D93" s="383"/>
      <c r="E93" s="383"/>
      <c r="F93" s="383"/>
      <c r="G93" s="92" t="s">
        <v>130</v>
      </c>
      <c r="H93" s="93" t="s">
        <v>128</v>
      </c>
      <c r="I93" s="94" t="s">
        <v>33</v>
      </c>
      <c r="J93" s="94" t="s">
        <v>23</v>
      </c>
      <c r="K93" s="166" t="s">
        <v>57</v>
      </c>
      <c r="L93" s="184"/>
      <c r="M93" s="189"/>
      <c r="N93" s="382"/>
      <c r="O93" s="383"/>
      <c r="P93" s="383"/>
      <c r="Q93" s="383"/>
      <c r="R93" s="383"/>
      <c r="S93" s="383"/>
      <c r="T93" s="92" t="s">
        <v>130</v>
      </c>
      <c r="U93" s="94" t="s">
        <v>128</v>
      </c>
      <c r="V93" s="94" t="s">
        <v>33</v>
      </c>
      <c r="W93" s="165" t="s">
        <v>23</v>
      </c>
      <c r="X93" s="166" t="s">
        <v>57</v>
      </c>
    </row>
    <row r="94" spans="1:24" s="3" customFormat="1" ht="24.75" customHeight="1" thickBot="1">
      <c r="A94" s="368" t="s">
        <v>108</v>
      </c>
      <c r="B94" s="369"/>
      <c r="C94" s="369"/>
      <c r="D94" s="369"/>
      <c r="E94" s="369"/>
      <c r="F94" s="370"/>
      <c r="G94" s="95" t="s">
        <v>66</v>
      </c>
      <c r="H94" s="96" t="s">
        <v>67</v>
      </c>
      <c r="I94" s="97" t="s">
        <v>68</v>
      </c>
      <c r="J94" s="97" t="s">
        <v>69</v>
      </c>
      <c r="K94" s="167" t="s">
        <v>124</v>
      </c>
      <c r="L94" s="184"/>
      <c r="M94" s="189"/>
      <c r="N94" s="368" t="s">
        <v>108</v>
      </c>
      <c r="O94" s="369"/>
      <c r="P94" s="369"/>
      <c r="Q94" s="369"/>
      <c r="R94" s="369"/>
      <c r="S94" s="370"/>
      <c r="T94" s="95" t="s">
        <v>71</v>
      </c>
      <c r="U94" s="97" t="s">
        <v>72</v>
      </c>
      <c r="V94" s="97" t="s">
        <v>73</v>
      </c>
      <c r="W94" s="97" t="s">
        <v>74</v>
      </c>
      <c r="X94" s="167" t="s">
        <v>124</v>
      </c>
    </row>
    <row r="95" spans="1:24" s="3" customFormat="1" ht="22.5" customHeight="1" thickTop="1">
      <c r="A95" s="430" t="s">
        <v>104</v>
      </c>
      <c r="B95" s="356" t="s">
        <v>3</v>
      </c>
      <c r="C95" s="357"/>
      <c r="D95" s="358"/>
      <c r="E95" s="359"/>
      <c r="F95" s="360"/>
      <c r="G95" s="337">
        <f>SUM(G96:G101)</f>
        <v>15185</v>
      </c>
      <c r="H95" s="332">
        <f>SUM(H96:H101)</f>
        <v>16535</v>
      </c>
      <c r="I95" s="129">
        <f aca="true" t="shared" si="14" ref="I95:I128">SUM(G95-H95)</f>
        <v>-1350</v>
      </c>
      <c r="J95" s="32">
        <f aca="true" t="shared" si="15" ref="J95:J101">SUM(G95/H95*100)-100</f>
        <v>-8.164499546416693</v>
      </c>
      <c r="K95" s="172">
        <f>SUM(G95/G95*100)</f>
        <v>100</v>
      </c>
      <c r="L95" s="199"/>
      <c r="M95" s="195"/>
      <c r="N95" s="430" t="s">
        <v>104</v>
      </c>
      <c r="O95" s="356" t="s">
        <v>3</v>
      </c>
      <c r="P95" s="357"/>
      <c r="Q95" s="358"/>
      <c r="R95" s="359"/>
      <c r="S95" s="360"/>
      <c r="T95" s="337">
        <f>SUM(T96:T101)</f>
        <v>1753764</v>
      </c>
      <c r="U95" s="332">
        <v>2051437</v>
      </c>
      <c r="V95" s="129">
        <f aca="true" t="shared" si="16" ref="V95:V128">SUM(T95-U95)</f>
        <v>-297673</v>
      </c>
      <c r="W95" s="32">
        <f aca="true" t="shared" si="17" ref="W95:W101">SUM(T95/U95*100)-100</f>
        <v>-14.510462665926369</v>
      </c>
      <c r="X95" s="215">
        <f>SUM(T95/T95*100)</f>
        <v>100</v>
      </c>
    </row>
    <row r="96" spans="1:24" s="3" customFormat="1" ht="15" customHeight="1">
      <c r="A96" s="431"/>
      <c r="B96" s="290"/>
      <c r="C96" s="299" t="s">
        <v>87</v>
      </c>
      <c r="D96" s="315"/>
      <c r="E96" s="136"/>
      <c r="F96" s="137"/>
      <c r="G96" s="140">
        <f>(1+17+35)+(4+6)</f>
        <v>63</v>
      </c>
      <c r="H96" s="331">
        <v>82</v>
      </c>
      <c r="I96" s="22">
        <f t="shared" si="14"/>
        <v>-19</v>
      </c>
      <c r="J96" s="170">
        <f t="shared" si="15"/>
        <v>-23.170731707317074</v>
      </c>
      <c r="K96" s="171">
        <f>SUM(G96/G95*100)</f>
        <v>0.4148831083305894</v>
      </c>
      <c r="L96" s="198"/>
      <c r="M96" s="194"/>
      <c r="N96" s="431"/>
      <c r="O96" s="290"/>
      <c r="P96" s="299" t="s">
        <v>87</v>
      </c>
      <c r="Q96" s="315"/>
      <c r="R96" s="136"/>
      <c r="S96" s="137"/>
      <c r="T96" s="140">
        <f>(527+5440+13716)+(244+1288+3390)</f>
        <v>24605</v>
      </c>
      <c r="U96" s="331">
        <v>31479</v>
      </c>
      <c r="V96" s="22">
        <f t="shared" si="16"/>
        <v>-6874</v>
      </c>
      <c r="W96" s="170">
        <f t="shared" si="17"/>
        <v>-21.836780075605958</v>
      </c>
      <c r="X96" s="211">
        <f>SUM(T96/T95*100)</f>
        <v>1.4029823853152419</v>
      </c>
    </row>
    <row r="97" spans="1:24" s="3" customFormat="1" ht="15" customHeight="1">
      <c r="A97" s="273" t="s">
        <v>102</v>
      </c>
      <c r="B97" s="290"/>
      <c r="C97" s="299" t="s">
        <v>61</v>
      </c>
      <c r="D97" s="315"/>
      <c r="E97" s="136"/>
      <c r="F97" s="137"/>
      <c r="G97" s="140">
        <f>(64+98)+(15+28)</f>
        <v>205</v>
      </c>
      <c r="H97" s="331">
        <v>192</v>
      </c>
      <c r="I97" s="22">
        <f t="shared" si="14"/>
        <v>13</v>
      </c>
      <c r="J97" s="170">
        <f t="shared" si="15"/>
        <v>6.770833333333329</v>
      </c>
      <c r="K97" s="171">
        <f>SUM(G97/G95*100)</f>
        <v>1.35001646361541</v>
      </c>
      <c r="L97" s="198"/>
      <c r="M97" s="194"/>
      <c r="N97" s="273" t="s">
        <v>102</v>
      </c>
      <c r="O97" s="290"/>
      <c r="P97" s="299" t="s">
        <v>61</v>
      </c>
      <c r="Q97" s="315"/>
      <c r="R97" s="136"/>
      <c r="S97" s="137"/>
      <c r="T97" s="140">
        <f>(20257+24471)+(6372+9975)</f>
        <v>61075</v>
      </c>
      <c r="U97" s="331">
        <v>64563</v>
      </c>
      <c r="V97" s="22">
        <f t="shared" si="16"/>
        <v>-3488</v>
      </c>
      <c r="W97" s="170">
        <f t="shared" si="17"/>
        <v>-5.402475101838505</v>
      </c>
      <c r="X97" s="211">
        <f>SUM(T97/T95*100)</f>
        <v>3.482509619310238</v>
      </c>
    </row>
    <row r="98" spans="1:24" s="3" customFormat="1" ht="15" customHeight="1">
      <c r="A98" s="273"/>
      <c r="B98" s="290"/>
      <c r="C98" s="299" t="s">
        <v>62</v>
      </c>
      <c r="D98" s="315"/>
      <c r="E98" s="136"/>
      <c r="F98" s="137"/>
      <c r="G98" s="140">
        <f>(113+128)+(34+48)</f>
        <v>323</v>
      </c>
      <c r="H98" s="331">
        <v>294</v>
      </c>
      <c r="I98" s="22">
        <f t="shared" si="14"/>
        <v>29</v>
      </c>
      <c r="J98" s="170">
        <f t="shared" si="15"/>
        <v>9.863945578231295</v>
      </c>
      <c r="K98" s="171">
        <f>SUM(G98/G95*100)</f>
        <v>2.127099110964768</v>
      </c>
      <c r="L98" s="198"/>
      <c r="M98" s="194"/>
      <c r="N98" s="273"/>
      <c r="O98" s="290"/>
      <c r="P98" s="299" t="s">
        <v>62</v>
      </c>
      <c r="Q98" s="315"/>
      <c r="R98" s="136"/>
      <c r="S98" s="137"/>
      <c r="T98" s="140">
        <f>(26547+29386)+(15038+20843)</f>
        <v>91814</v>
      </c>
      <c r="U98" s="331">
        <v>120771</v>
      </c>
      <c r="V98" s="22">
        <f t="shared" si="16"/>
        <v>-28957</v>
      </c>
      <c r="W98" s="170">
        <f t="shared" si="17"/>
        <v>-23.976782505733993</v>
      </c>
      <c r="X98" s="211">
        <f>SUM(T98/T95*100)</f>
        <v>5.235254002248877</v>
      </c>
    </row>
    <row r="99" spans="1:24" s="3" customFormat="1" ht="15" customHeight="1">
      <c r="A99" s="273"/>
      <c r="B99" s="290"/>
      <c r="C99" s="299" t="s">
        <v>63</v>
      </c>
      <c r="D99" s="315"/>
      <c r="E99" s="136"/>
      <c r="F99" s="137"/>
      <c r="G99" s="140">
        <f>(133+239)+(83+216)</f>
        <v>671</v>
      </c>
      <c r="H99" s="331">
        <v>1145</v>
      </c>
      <c r="I99" s="22">
        <f t="shared" si="14"/>
        <v>-474</v>
      </c>
      <c r="J99" s="170">
        <f t="shared" si="15"/>
        <v>-41.39737991266376</v>
      </c>
      <c r="K99" s="171">
        <f>SUM(G99/G95*100)</f>
        <v>4.418834376028976</v>
      </c>
      <c r="L99" s="198"/>
      <c r="M99" s="194"/>
      <c r="N99" s="273"/>
      <c r="O99" s="290"/>
      <c r="P99" s="299" t="s">
        <v>63</v>
      </c>
      <c r="Q99" s="315"/>
      <c r="R99" s="136"/>
      <c r="S99" s="137"/>
      <c r="T99" s="140">
        <f>(41749+63729)+(34913+61731)</f>
        <v>202122</v>
      </c>
      <c r="U99" s="331">
        <v>309687</v>
      </c>
      <c r="V99" s="22">
        <f t="shared" si="16"/>
        <v>-107565</v>
      </c>
      <c r="W99" s="170">
        <f t="shared" si="17"/>
        <v>-34.733456683683855</v>
      </c>
      <c r="X99" s="211">
        <f>SUM(T99/T95*100)</f>
        <v>11.52503985713015</v>
      </c>
    </row>
    <row r="100" spans="1:24" s="3" customFormat="1" ht="15" customHeight="1">
      <c r="A100" s="273"/>
      <c r="B100" s="290"/>
      <c r="C100" s="299" t="s">
        <v>64</v>
      </c>
      <c r="D100" s="315"/>
      <c r="E100" s="136"/>
      <c r="F100" s="137"/>
      <c r="G100" s="140">
        <f>1022+668</f>
        <v>1690</v>
      </c>
      <c r="H100" s="331">
        <v>2290</v>
      </c>
      <c r="I100" s="22">
        <f t="shared" si="14"/>
        <v>-600</v>
      </c>
      <c r="J100" s="170">
        <f t="shared" si="15"/>
        <v>-26.200873362445407</v>
      </c>
      <c r="K100" s="171">
        <f>SUM(G100/G95*100)</f>
        <v>11.12940401712216</v>
      </c>
      <c r="L100" s="198"/>
      <c r="M100" s="194"/>
      <c r="N100" s="273"/>
      <c r="O100" s="290"/>
      <c r="P100" s="299" t="s">
        <v>64</v>
      </c>
      <c r="Q100" s="315"/>
      <c r="R100" s="136"/>
      <c r="S100" s="137"/>
      <c r="T100" s="140">
        <f>131669+110407</f>
        <v>242076</v>
      </c>
      <c r="U100" s="331">
        <v>271460</v>
      </c>
      <c r="V100" s="22">
        <f t="shared" si="16"/>
        <v>-29384</v>
      </c>
      <c r="W100" s="170">
        <f t="shared" si="17"/>
        <v>-10.824430855374644</v>
      </c>
      <c r="X100" s="211">
        <f>SUM(T100/T95*100)</f>
        <v>13.803225519511178</v>
      </c>
    </row>
    <row r="101" spans="1:24" s="3" customFormat="1" ht="15" customHeight="1">
      <c r="A101" s="273"/>
      <c r="B101" s="290"/>
      <c r="C101" s="299" t="s">
        <v>65</v>
      </c>
      <c r="D101" s="315"/>
      <c r="E101" s="136"/>
      <c r="F101" s="137"/>
      <c r="G101" s="140">
        <f>(2303+2025+1660+1125+453)+(1256+1406+1067+689+249)</f>
        <v>12233</v>
      </c>
      <c r="H101" s="331">
        <v>12532</v>
      </c>
      <c r="I101" s="22">
        <f t="shared" si="14"/>
        <v>-299</v>
      </c>
      <c r="J101" s="170">
        <f t="shared" si="15"/>
        <v>-2.385892116182575</v>
      </c>
      <c r="K101" s="171">
        <f>SUM(G101/G95*100)</f>
        <v>80.5597629239381</v>
      </c>
      <c r="L101" s="198"/>
      <c r="M101" s="194"/>
      <c r="N101" s="273"/>
      <c r="O101" s="290"/>
      <c r="P101" s="299" t="s">
        <v>65</v>
      </c>
      <c r="Q101" s="315"/>
      <c r="R101" s="136"/>
      <c r="S101" s="137"/>
      <c r="T101" s="140">
        <f>(177038+154191+153922+110684+51390)+(127788+129180+118321+75474+34084)</f>
        <v>1132072</v>
      </c>
      <c r="U101" s="331">
        <v>1253477</v>
      </c>
      <c r="V101" s="22">
        <f t="shared" si="16"/>
        <v>-121405</v>
      </c>
      <c r="W101" s="170">
        <f t="shared" si="17"/>
        <v>-9.685458927447414</v>
      </c>
      <c r="X101" s="211">
        <f>SUM(T101/T95*100)</f>
        <v>64.55098861648432</v>
      </c>
    </row>
    <row r="102" spans="1:24" s="3" customFormat="1" ht="22.5" customHeight="1" thickBot="1">
      <c r="A102" s="273"/>
      <c r="B102" s="308"/>
      <c r="C102" s="362" t="s">
        <v>30</v>
      </c>
      <c r="D102" s="407"/>
      <c r="E102" s="407"/>
      <c r="F102" s="408"/>
      <c r="G102" s="231">
        <v>70.5</v>
      </c>
      <c r="H102" s="342">
        <v>69.9</v>
      </c>
      <c r="I102" s="131">
        <f t="shared" si="14"/>
        <v>0.5999999999999943</v>
      </c>
      <c r="J102" s="132" t="s">
        <v>114</v>
      </c>
      <c r="K102" s="173" t="s">
        <v>114</v>
      </c>
      <c r="L102" s="169"/>
      <c r="M102" s="196"/>
      <c r="N102" s="273"/>
      <c r="O102" s="308"/>
      <c r="P102" s="362" t="s">
        <v>30</v>
      </c>
      <c r="Q102" s="407"/>
      <c r="R102" s="407"/>
      <c r="S102" s="408"/>
      <c r="T102" s="231">
        <v>67</v>
      </c>
      <c r="U102" s="342">
        <v>66.1</v>
      </c>
      <c r="V102" s="131">
        <f t="shared" si="16"/>
        <v>0.9000000000000057</v>
      </c>
      <c r="W102" s="132" t="s">
        <v>114</v>
      </c>
      <c r="X102" s="216" t="s">
        <v>114</v>
      </c>
    </row>
    <row r="103" spans="1:24" s="3" customFormat="1" ht="27" customHeight="1" thickTop="1">
      <c r="A103" s="398" t="s">
        <v>105</v>
      </c>
      <c r="B103" s="356" t="s">
        <v>3</v>
      </c>
      <c r="C103" s="357"/>
      <c r="D103" s="358"/>
      <c r="E103" s="359"/>
      <c r="F103" s="360"/>
      <c r="G103" s="232">
        <v>50984</v>
      </c>
      <c r="H103" s="233">
        <v>53376</v>
      </c>
      <c r="I103" s="120">
        <f t="shared" si="14"/>
        <v>-2392</v>
      </c>
      <c r="J103" s="121">
        <f aca="true" t="shared" si="18" ref="J103:J128">SUM(G103/H103*100)-100</f>
        <v>-4.481414868105517</v>
      </c>
      <c r="K103" s="9">
        <f>SUM(G103/G103*100)</f>
        <v>100</v>
      </c>
      <c r="L103" s="89"/>
      <c r="M103" s="187"/>
      <c r="N103" s="398" t="s">
        <v>105</v>
      </c>
      <c r="O103" s="356" t="s">
        <v>3</v>
      </c>
      <c r="P103" s="357"/>
      <c r="Q103" s="358"/>
      <c r="R103" s="359"/>
      <c r="S103" s="360"/>
      <c r="T103" s="133">
        <v>3451444</v>
      </c>
      <c r="U103" s="134">
        <v>3631585</v>
      </c>
      <c r="V103" s="123">
        <f t="shared" si="16"/>
        <v>-180141</v>
      </c>
      <c r="W103" s="121">
        <f aca="true" t="shared" si="19" ref="W103:W128">SUM(T103/U103*100)-100</f>
        <v>-4.9603960804992795</v>
      </c>
      <c r="X103" s="9">
        <f>SUM(T103/T103*100)</f>
        <v>100</v>
      </c>
    </row>
    <row r="104" spans="1:24" s="3" customFormat="1" ht="25.5" customHeight="1">
      <c r="A104" s="399"/>
      <c r="B104" s="318"/>
      <c r="C104" s="135" t="s">
        <v>42</v>
      </c>
      <c r="D104" s="136"/>
      <c r="E104" s="136"/>
      <c r="F104" s="137"/>
      <c r="G104" s="138">
        <v>49417</v>
      </c>
      <c r="H104" s="139">
        <v>51748</v>
      </c>
      <c r="I104" s="18">
        <f t="shared" si="14"/>
        <v>-2331</v>
      </c>
      <c r="J104" s="11">
        <f t="shared" si="18"/>
        <v>-4.504521913890386</v>
      </c>
      <c r="K104" s="16">
        <f>SUM(G104/G103*100)</f>
        <v>96.92648674093833</v>
      </c>
      <c r="L104" s="89"/>
      <c r="M104" s="187"/>
      <c r="N104" s="399"/>
      <c r="O104" s="318"/>
      <c r="P104" s="135" t="s">
        <v>42</v>
      </c>
      <c r="Q104" s="136"/>
      <c r="R104" s="136"/>
      <c r="S104" s="137"/>
      <c r="T104" s="140">
        <v>1947029</v>
      </c>
      <c r="U104" s="141">
        <v>2046267</v>
      </c>
      <c r="V104" s="10">
        <f t="shared" si="16"/>
        <v>-99238</v>
      </c>
      <c r="W104" s="15">
        <f t="shared" si="19"/>
        <v>-4.849709251041048</v>
      </c>
      <c r="X104" s="16">
        <f>SUM(T104/T103*100)</f>
        <v>56.412011899946805</v>
      </c>
    </row>
    <row r="105" spans="1:24" s="3" customFormat="1" ht="24.75" customHeight="1">
      <c r="A105" s="325" t="s">
        <v>111</v>
      </c>
      <c r="B105" s="318"/>
      <c r="C105" s="135" t="s">
        <v>43</v>
      </c>
      <c r="D105" s="136"/>
      <c r="E105" s="136"/>
      <c r="F105" s="137"/>
      <c r="G105" s="138">
        <v>1082</v>
      </c>
      <c r="H105" s="139">
        <v>1101</v>
      </c>
      <c r="I105" s="18">
        <f t="shared" si="14"/>
        <v>-19</v>
      </c>
      <c r="J105" s="11">
        <f t="shared" si="18"/>
        <v>-1.7257039055404277</v>
      </c>
      <c r="K105" s="16">
        <f>SUM(G105/G103*100)</f>
        <v>2.1222344264867408</v>
      </c>
      <c r="L105" s="89"/>
      <c r="M105" s="187"/>
      <c r="N105" s="325" t="s">
        <v>111</v>
      </c>
      <c r="O105" s="318"/>
      <c r="P105" s="135" t="s">
        <v>43</v>
      </c>
      <c r="Q105" s="136"/>
      <c r="R105" s="136"/>
      <c r="S105" s="137"/>
      <c r="T105" s="140">
        <v>1315767</v>
      </c>
      <c r="U105" s="141">
        <v>1371521</v>
      </c>
      <c r="V105" s="10">
        <f t="shared" si="16"/>
        <v>-55754</v>
      </c>
      <c r="W105" s="15">
        <f t="shared" si="19"/>
        <v>-4.065121861057904</v>
      </c>
      <c r="X105" s="16">
        <f>SUM(T105/T103*100)</f>
        <v>38.122217831145456</v>
      </c>
    </row>
    <row r="106" spans="1:24" s="3" customFormat="1" ht="24.75" customHeight="1">
      <c r="A106" s="314"/>
      <c r="B106" s="318"/>
      <c r="C106" s="135" t="s">
        <v>44</v>
      </c>
      <c r="D106" s="136"/>
      <c r="E106" s="136"/>
      <c r="F106" s="137"/>
      <c r="G106" s="138">
        <v>486</v>
      </c>
      <c r="H106" s="139">
        <v>527</v>
      </c>
      <c r="I106" s="18">
        <f t="shared" si="14"/>
        <v>-41</v>
      </c>
      <c r="J106" s="11">
        <f t="shared" si="18"/>
        <v>-7.779886148007591</v>
      </c>
      <c r="K106" s="16">
        <f>SUM(G106/G103*100)</f>
        <v>0.9532402322297191</v>
      </c>
      <c r="L106" s="89"/>
      <c r="M106" s="187"/>
      <c r="N106" s="314"/>
      <c r="O106" s="318"/>
      <c r="P106" s="135" t="s">
        <v>44</v>
      </c>
      <c r="Q106" s="136"/>
      <c r="R106" s="136"/>
      <c r="S106" s="137"/>
      <c r="T106" s="140">
        <v>188648</v>
      </c>
      <c r="U106" s="141">
        <v>213797</v>
      </c>
      <c r="V106" s="10">
        <f t="shared" si="16"/>
        <v>-25149</v>
      </c>
      <c r="W106" s="15">
        <f t="shared" si="19"/>
        <v>-11.76302754482056</v>
      </c>
      <c r="X106" s="16">
        <f>SUM(T106/T103*100)</f>
        <v>5.465770268907738</v>
      </c>
    </row>
    <row r="107" spans="1:24" s="3" customFormat="1" ht="24.75" customHeight="1">
      <c r="A107" s="314"/>
      <c r="B107" s="318"/>
      <c r="C107" s="459" t="s">
        <v>125</v>
      </c>
      <c r="D107" s="460"/>
      <c r="E107" s="460"/>
      <c r="F107" s="461"/>
      <c r="G107" s="234">
        <v>2.9</v>
      </c>
      <c r="H107" s="235">
        <v>2.35</v>
      </c>
      <c r="I107" s="142">
        <f t="shared" si="14"/>
        <v>0.5499999999999998</v>
      </c>
      <c r="J107" s="15">
        <f t="shared" si="18"/>
        <v>23.40425531914893</v>
      </c>
      <c r="K107" s="144" t="s">
        <v>114</v>
      </c>
      <c r="L107" s="186"/>
      <c r="M107" s="193"/>
      <c r="N107" s="314"/>
      <c r="O107" s="318"/>
      <c r="P107" s="459" t="s">
        <v>125</v>
      </c>
      <c r="Q107" s="460"/>
      <c r="R107" s="460"/>
      <c r="S107" s="461"/>
      <c r="T107" s="326">
        <v>2.54</v>
      </c>
      <c r="U107" s="329">
        <v>2.19</v>
      </c>
      <c r="V107" s="143">
        <f t="shared" si="16"/>
        <v>0.3500000000000001</v>
      </c>
      <c r="W107" s="15">
        <f t="shared" si="19"/>
        <v>15.981735159817362</v>
      </c>
      <c r="X107" s="144" t="s">
        <v>114</v>
      </c>
    </row>
    <row r="108" spans="1:24" s="3" customFormat="1" ht="24.75" customHeight="1" thickBot="1">
      <c r="A108" s="319"/>
      <c r="B108" s="320"/>
      <c r="C108" s="371" t="s">
        <v>28</v>
      </c>
      <c r="D108" s="372"/>
      <c r="E108" s="372"/>
      <c r="F108" s="373"/>
      <c r="G108" s="236">
        <v>29977</v>
      </c>
      <c r="H108" s="237">
        <v>28352</v>
      </c>
      <c r="I108" s="145">
        <f t="shared" si="14"/>
        <v>1625</v>
      </c>
      <c r="J108" s="146">
        <f t="shared" si="18"/>
        <v>5.731518058690739</v>
      </c>
      <c r="K108" s="86">
        <f>SUM(G108/G103*100)</f>
        <v>58.79687745174957</v>
      </c>
      <c r="L108" s="89"/>
      <c r="M108" s="187"/>
      <c r="N108" s="319"/>
      <c r="O108" s="320"/>
      <c r="P108" s="371" t="s">
        <v>28</v>
      </c>
      <c r="Q108" s="372"/>
      <c r="R108" s="372"/>
      <c r="S108" s="373"/>
      <c r="T108" s="327">
        <v>1164135</v>
      </c>
      <c r="U108" s="330">
        <v>1063139</v>
      </c>
      <c r="V108" s="147">
        <f t="shared" si="16"/>
        <v>100996</v>
      </c>
      <c r="W108" s="146">
        <f t="shared" si="19"/>
        <v>9.499792595323854</v>
      </c>
      <c r="X108" s="86">
        <f>SUM(T108/T103*100)</f>
        <v>33.72892621175369</v>
      </c>
    </row>
    <row r="109" spans="1:24" s="3" customFormat="1" ht="25.5" customHeight="1" thickTop="1">
      <c r="A109" s="398" t="s">
        <v>121</v>
      </c>
      <c r="B109" s="356" t="s">
        <v>3</v>
      </c>
      <c r="C109" s="357"/>
      <c r="D109" s="358"/>
      <c r="E109" s="359"/>
      <c r="F109" s="360"/>
      <c r="G109" s="335">
        <f>5098442/100</f>
        <v>50984.42</v>
      </c>
      <c r="H109" s="343">
        <v>53376</v>
      </c>
      <c r="I109" s="148">
        <f t="shared" si="14"/>
        <v>-2391.5800000000017</v>
      </c>
      <c r="J109" s="149">
        <f t="shared" si="18"/>
        <v>-4.480627997601928</v>
      </c>
      <c r="K109" s="28">
        <f>SUM(G109/G109*100)</f>
        <v>100</v>
      </c>
      <c r="L109" s="89"/>
      <c r="M109" s="187"/>
      <c r="N109" s="398" t="s">
        <v>121</v>
      </c>
      <c r="O109" s="356" t="s">
        <v>3</v>
      </c>
      <c r="P109" s="357"/>
      <c r="Q109" s="358"/>
      <c r="R109" s="359"/>
      <c r="S109" s="360"/>
      <c r="T109" s="333">
        <v>3451444</v>
      </c>
      <c r="U109" s="334">
        <v>3631585</v>
      </c>
      <c r="V109" s="151">
        <f t="shared" si="16"/>
        <v>-180141</v>
      </c>
      <c r="W109" s="149">
        <f t="shared" si="19"/>
        <v>-4.9603960804992795</v>
      </c>
      <c r="X109" s="38">
        <f>SUM(T109/T109*100)</f>
        <v>100</v>
      </c>
    </row>
    <row r="110" spans="1:24" s="3" customFormat="1" ht="15" customHeight="1">
      <c r="A110" s="399"/>
      <c r="B110" s="244"/>
      <c r="C110" s="344" t="s">
        <v>91</v>
      </c>
      <c r="D110" s="345"/>
      <c r="E110" s="345"/>
      <c r="F110" s="346"/>
      <c r="G110" s="178">
        <f>(2265+90941+375049)/100</f>
        <v>4682.55</v>
      </c>
      <c r="H110" s="179">
        <v>6333</v>
      </c>
      <c r="I110" s="176">
        <f t="shared" si="14"/>
        <v>-1650.4499999999998</v>
      </c>
      <c r="J110" s="113">
        <f t="shared" si="18"/>
        <v>-26.061108479393653</v>
      </c>
      <c r="K110" s="16">
        <f>SUM(G110/G109*100)</f>
        <v>9.184276294601371</v>
      </c>
      <c r="L110" s="89"/>
      <c r="M110" s="187"/>
      <c r="N110" s="399"/>
      <c r="O110" s="244"/>
      <c r="P110" s="344" t="s">
        <v>91</v>
      </c>
      <c r="Q110" s="345"/>
      <c r="R110" s="345"/>
      <c r="S110" s="346"/>
      <c r="T110" s="328">
        <f>6247+98823+305926</f>
        <v>410996</v>
      </c>
      <c r="U110" s="179">
        <v>523354</v>
      </c>
      <c r="V110" s="22">
        <f t="shared" si="16"/>
        <v>-112358</v>
      </c>
      <c r="W110" s="11">
        <f t="shared" si="19"/>
        <v>-21.468833714846923</v>
      </c>
      <c r="X110" s="16">
        <f>SUM(T110/T109*100)</f>
        <v>11.90794345786865</v>
      </c>
    </row>
    <row r="111" spans="1:24" s="3" customFormat="1" ht="15" customHeight="1">
      <c r="A111" s="62" t="s">
        <v>111</v>
      </c>
      <c r="B111" s="244"/>
      <c r="C111" s="349">
        <v>1</v>
      </c>
      <c r="D111" s="364"/>
      <c r="E111" s="293" t="s">
        <v>25</v>
      </c>
      <c r="F111" s="294" t="s">
        <v>81</v>
      </c>
      <c r="G111" s="178">
        <f>(452848+392778)/100</f>
        <v>8456.26</v>
      </c>
      <c r="H111" s="179">
        <v>11228</v>
      </c>
      <c r="I111" s="176">
        <f t="shared" si="14"/>
        <v>-2771.74</v>
      </c>
      <c r="J111" s="113">
        <f t="shared" si="18"/>
        <v>-24.685963662272897</v>
      </c>
      <c r="K111" s="16">
        <f>SUM(G111/G109*100)</f>
        <v>16.585968811648737</v>
      </c>
      <c r="L111" s="89"/>
      <c r="M111" s="187"/>
      <c r="N111" s="62" t="s">
        <v>111</v>
      </c>
      <c r="O111" s="244"/>
      <c r="P111" s="349">
        <v>1</v>
      </c>
      <c r="Q111" s="364"/>
      <c r="R111" s="293" t="s">
        <v>25</v>
      </c>
      <c r="S111" s="294" t="s">
        <v>81</v>
      </c>
      <c r="T111" s="328">
        <f>259044+199832</f>
        <v>458876</v>
      </c>
      <c r="U111" s="179">
        <v>573735</v>
      </c>
      <c r="V111" s="22">
        <f t="shared" si="16"/>
        <v>-114859</v>
      </c>
      <c r="W111" s="11">
        <f t="shared" si="19"/>
        <v>-20.019521207526125</v>
      </c>
      <c r="X111" s="16">
        <f>SUM(T111/T109*100)</f>
        <v>13.295188912234995</v>
      </c>
    </row>
    <row r="112" spans="1:24" s="3" customFormat="1" ht="15" customHeight="1">
      <c r="A112" s="98"/>
      <c r="B112" s="244"/>
      <c r="C112" s="349">
        <v>2</v>
      </c>
      <c r="D112" s="350"/>
      <c r="E112" s="293" t="s">
        <v>25</v>
      </c>
      <c r="F112" s="294" t="s">
        <v>82</v>
      </c>
      <c r="G112" s="178">
        <f>395425/100</f>
        <v>3954.25</v>
      </c>
      <c r="H112" s="179">
        <v>5021</v>
      </c>
      <c r="I112" s="176">
        <f t="shared" si="14"/>
        <v>-1066.75</v>
      </c>
      <c r="J112" s="113">
        <f t="shared" si="18"/>
        <v>-21.245767775343566</v>
      </c>
      <c r="K112" s="16">
        <f>SUM(G112/G109*100)</f>
        <v>7.7558006936236605</v>
      </c>
      <c r="L112" s="89"/>
      <c r="M112" s="187"/>
      <c r="N112" s="98"/>
      <c r="O112" s="244"/>
      <c r="P112" s="349">
        <v>2</v>
      </c>
      <c r="Q112" s="350"/>
      <c r="R112" s="293" t="s">
        <v>25</v>
      </c>
      <c r="S112" s="294" t="s">
        <v>82</v>
      </c>
      <c r="T112" s="328">
        <v>277231</v>
      </c>
      <c r="U112" s="179">
        <v>328173</v>
      </c>
      <c r="V112" s="22">
        <f t="shared" si="16"/>
        <v>-50942</v>
      </c>
      <c r="W112" s="11">
        <f t="shared" si="19"/>
        <v>-15.522910172378587</v>
      </c>
      <c r="X112" s="16">
        <f>SUM(T112/T109*100)</f>
        <v>8.032319226387564</v>
      </c>
    </row>
    <row r="113" spans="1:24" s="3" customFormat="1" ht="15" customHeight="1">
      <c r="A113" s="98"/>
      <c r="B113" s="244"/>
      <c r="C113" s="349">
        <v>3</v>
      </c>
      <c r="D113" s="350"/>
      <c r="E113" s="293" t="s">
        <v>25</v>
      </c>
      <c r="F113" s="294" t="s">
        <v>83</v>
      </c>
      <c r="G113" s="178">
        <f>285762/100</f>
        <v>2857.62</v>
      </c>
      <c r="H113" s="179">
        <v>3270</v>
      </c>
      <c r="I113" s="176">
        <f t="shared" si="14"/>
        <v>-412.3800000000001</v>
      </c>
      <c r="J113" s="113">
        <f t="shared" si="18"/>
        <v>-12.611009174311931</v>
      </c>
      <c r="K113" s="16">
        <f>SUM(G113/G109*100)</f>
        <v>5.604888709138988</v>
      </c>
      <c r="L113" s="89"/>
      <c r="M113" s="187"/>
      <c r="N113" s="98"/>
      <c r="O113" s="244"/>
      <c r="P113" s="349">
        <v>3</v>
      </c>
      <c r="Q113" s="350"/>
      <c r="R113" s="293" t="s">
        <v>25</v>
      </c>
      <c r="S113" s="294" t="s">
        <v>83</v>
      </c>
      <c r="T113" s="328">
        <v>306703</v>
      </c>
      <c r="U113" s="179">
        <v>339595</v>
      </c>
      <c r="V113" s="22">
        <f t="shared" si="16"/>
        <v>-32892</v>
      </c>
      <c r="W113" s="11">
        <f t="shared" si="19"/>
        <v>-9.68565497136295</v>
      </c>
      <c r="X113" s="16">
        <f>SUM(T113/T109*100)</f>
        <v>8.886222694037627</v>
      </c>
    </row>
    <row r="114" spans="1:24" s="3" customFormat="1" ht="15" customHeight="1">
      <c r="A114" s="98"/>
      <c r="B114" s="244"/>
      <c r="C114" s="349">
        <v>5</v>
      </c>
      <c r="D114" s="350"/>
      <c r="E114" s="293" t="s">
        <v>25</v>
      </c>
      <c r="F114" s="294" t="s">
        <v>26</v>
      </c>
      <c r="G114" s="178">
        <f>367914/100</f>
        <v>3679.14</v>
      </c>
      <c r="H114" s="179">
        <v>3815</v>
      </c>
      <c r="I114" s="176">
        <f t="shared" si="14"/>
        <v>-135.86000000000013</v>
      </c>
      <c r="J114" s="113">
        <f t="shared" si="18"/>
        <v>-3.5612057667103585</v>
      </c>
      <c r="K114" s="16">
        <f>SUM(G114/G109*100)</f>
        <v>7.216204479721452</v>
      </c>
      <c r="L114" s="89"/>
      <c r="M114" s="187"/>
      <c r="N114" s="98"/>
      <c r="O114" s="244"/>
      <c r="P114" s="349">
        <v>5</v>
      </c>
      <c r="Q114" s="350"/>
      <c r="R114" s="293" t="s">
        <v>25</v>
      </c>
      <c r="S114" s="294" t="s">
        <v>26</v>
      </c>
      <c r="T114" s="328">
        <v>354832</v>
      </c>
      <c r="U114" s="179">
        <v>352478</v>
      </c>
      <c r="V114" s="22">
        <f t="shared" si="16"/>
        <v>2354</v>
      </c>
      <c r="W114" s="11">
        <f t="shared" si="19"/>
        <v>0.6678430994274862</v>
      </c>
      <c r="X114" s="16">
        <f>SUM(T114/T109*100)</f>
        <v>10.280682520127806</v>
      </c>
    </row>
    <row r="115" spans="1:24" s="3" customFormat="1" ht="15" customHeight="1">
      <c r="A115" s="98"/>
      <c r="B115" s="244"/>
      <c r="C115" s="351" t="s">
        <v>92</v>
      </c>
      <c r="D115" s="352"/>
      <c r="E115" s="353"/>
      <c r="F115" s="294" t="s">
        <v>27</v>
      </c>
      <c r="G115" s="178">
        <f>(530331+617322)/100</f>
        <v>11476.53</v>
      </c>
      <c r="H115" s="179">
        <v>11060</v>
      </c>
      <c r="I115" s="176">
        <f t="shared" si="14"/>
        <v>416.53000000000065</v>
      </c>
      <c r="J115" s="113">
        <f t="shared" si="18"/>
        <v>3.7660940325497307</v>
      </c>
      <c r="K115" s="16">
        <f>SUM(G115/G109*100)</f>
        <v>22.509876546599923</v>
      </c>
      <c r="L115" s="89"/>
      <c r="M115" s="187"/>
      <c r="N115" s="98"/>
      <c r="O115" s="244"/>
      <c r="P115" s="351" t="s">
        <v>92</v>
      </c>
      <c r="Q115" s="352"/>
      <c r="R115" s="353"/>
      <c r="S115" s="294" t="s">
        <v>27</v>
      </c>
      <c r="T115" s="178">
        <f>349760+249503</f>
        <v>599263</v>
      </c>
      <c r="U115" s="179">
        <v>563567</v>
      </c>
      <c r="V115" s="22">
        <f t="shared" si="16"/>
        <v>35696</v>
      </c>
      <c r="W115" s="11">
        <f t="shared" si="19"/>
        <v>6.333940773679075</v>
      </c>
      <c r="X115" s="16">
        <f>SUM(T115/T109*100)</f>
        <v>17.36267486883751</v>
      </c>
    </row>
    <row r="116" spans="1:24" s="3" customFormat="1" ht="15" customHeight="1" thickBot="1">
      <c r="A116" s="271"/>
      <c r="B116" s="272"/>
      <c r="C116" s="361" t="s">
        <v>24</v>
      </c>
      <c r="D116" s="362"/>
      <c r="E116" s="362"/>
      <c r="F116" s="363"/>
      <c r="G116" s="180">
        <f>(894448+482586+210773)/100</f>
        <v>15878.07</v>
      </c>
      <c r="H116" s="181">
        <v>12649</v>
      </c>
      <c r="I116" s="152">
        <f t="shared" si="14"/>
        <v>3229.0699999999997</v>
      </c>
      <c r="J116" s="177">
        <f t="shared" si="18"/>
        <v>25.528263103802672</v>
      </c>
      <c r="K116" s="208">
        <f>SUM(G116/G109*100)</f>
        <v>31.142984464665872</v>
      </c>
      <c r="L116" s="89"/>
      <c r="M116" s="187"/>
      <c r="N116" s="271"/>
      <c r="O116" s="272"/>
      <c r="P116" s="361" t="s">
        <v>24</v>
      </c>
      <c r="Q116" s="362"/>
      <c r="R116" s="362"/>
      <c r="S116" s="363"/>
      <c r="T116" s="180">
        <f>354751+406602+282189</f>
        <v>1043542</v>
      </c>
      <c r="U116" s="182">
        <v>950684</v>
      </c>
      <c r="V116" s="78">
        <f t="shared" si="16"/>
        <v>92858</v>
      </c>
      <c r="W116" s="19">
        <f t="shared" si="19"/>
        <v>9.767493720310853</v>
      </c>
      <c r="X116" s="86">
        <f>SUM(T116/T109*100)</f>
        <v>30.234939347125433</v>
      </c>
    </row>
    <row r="117" spans="1:24" s="3" customFormat="1" ht="26.25" customHeight="1" thickTop="1">
      <c r="A117" s="98" t="s">
        <v>88</v>
      </c>
      <c r="B117" s="244"/>
      <c r="C117" s="347" t="s">
        <v>3</v>
      </c>
      <c r="D117" s="347"/>
      <c r="E117" s="347"/>
      <c r="F117" s="348"/>
      <c r="G117" s="238">
        <v>2527</v>
      </c>
      <c r="H117" s="99">
        <v>2154</v>
      </c>
      <c r="I117" s="120">
        <f t="shared" si="14"/>
        <v>373</v>
      </c>
      <c r="J117" s="149">
        <f t="shared" si="18"/>
        <v>17.316620241411314</v>
      </c>
      <c r="K117" s="77">
        <f>SUM(G117/G117*100)</f>
        <v>100</v>
      </c>
      <c r="L117" s="89"/>
      <c r="M117" s="187"/>
      <c r="N117" s="98" t="s">
        <v>88</v>
      </c>
      <c r="O117" s="244"/>
      <c r="P117" s="347" t="s">
        <v>3</v>
      </c>
      <c r="Q117" s="347"/>
      <c r="R117" s="347"/>
      <c r="S117" s="348"/>
      <c r="T117" s="150">
        <v>423064</v>
      </c>
      <c r="U117" s="122">
        <v>395981</v>
      </c>
      <c r="V117" s="123">
        <f t="shared" si="16"/>
        <v>27083</v>
      </c>
      <c r="W117" s="183">
        <f t="shared" si="19"/>
        <v>6.839469570509692</v>
      </c>
      <c r="X117" s="77">
        <f>SUM(T117/T117*100)</f>
        <v>100</v>
      </c>
    </row>
    <row r="118" spans="1:24" s="3" customFormat="1" ht="19.5" customHeight="1">
      <c r="A118" s="62" t="s">
        <v>111</v>
      </c>
      <c r="B118" s="254"/>
      <c r="C118" s="321" t="s">
        <v>84</v>
      </c>
      <c r="D118" s="287"/>
      <c r="E118" s="306"/>
      <c r="F118" s="307"/>
      <c r="G118" s="54">
        <v>701</v>
      </c>
      <c r="H118" s="55">
        <v>607</v>
      </c>
      <c r="I118" s="18">
        <f t="shared" si="14"/>
        <v>94</v>
      </c>
      <c r="J118" s="11">
        <f t="shared" si="18"/>
        <v>15.485996705107084</v>
      </c>
      <c r="K118" s="16">
        <f>SUM(G118/G117*100)</f>
        <v>27.74040364068065</v>
      </c>
      <c r="L118" s="89"/>
      <c r="M118" s="187"/>
      <c r="N118" s="62" t="s">
        <v>111</v>
      </c>
      <c r="O118" s="254"/>
      <c r="P118" s="321" t="s">
        <v>84</v>
      </c>
      <c r="Q118" s="287"/>
      <c r="R118" s="306"/>
      <c r="S118" s="307"/>
      <c r="T118" s="56">
        <v>127104</v>
      </c>
      <c r="U118" s="57">
        <v>124119</v>
      </c>
      <c r="V118" s="22">
        <f t="shared" si="16"/>
        <v>2985</v>
      </c>
      <c r="W118" s="11">
        <f t="shared" si="19"/>
        <v>2.4049500882217956</v>
      </c>
      <c r="X118" s="16">
        <f>SUM(T118/T117*100)</f>
        <v>30.04368133426621</v>
      </c>
    </row>
    <row r="119" spans="1:24" s="3" customFormat="1" ht="19.5" customHeight="1">
      <c r="A119" s="98"/>
      <c r="B119" s="254"/>
      <c r="C119" s="321" t="s">
        <v>85</v>
      </c>
      <c r="D119" s="293"/>
      <c r="E119" s="306"/>
      <c r="F119" s="307"/>
      <c r="G119" s="54">
        <v>409</v>
      </c>
      <c r="H119" s="55">
        <v>365</v>
      </c>
      <c r="I119" s="18">
        <f t="shared" si="14"/>
        <v>44</v>
      </c>
      <c r="J119" s="11">
        <f t="shared" si="18"/>
        <v>12.054794520547944</v>
      </c>
      <c r="K119" s="16">
        <f>SUM(G119/G117*100)</f>
        <v>16.185199841709537</v>
      </c>
      <c r="L119" s="89"/>
      <c r="M119" s="187"/>
      <c r="N119" s="98"/>
      <c r="O119" s="254"/>
      <c r="P119" s="321" t="s">
        <v>85</v>
      </c>
      <c r="Q119" s="293"/>
      <c r="R119" s="306"/>
      <c r="S119" s="307"/>
      <c r="T119" s="56">
        <v>90829</v>
      </c>
      <c r="U119" s="57">
        <v>90021</v>
      </c>
      <c r="V119" s="22">
        <f t="shared" si="16"/>
        <v>808</v>
      </c>
      <c r="W119" s="11">
        <f t="shared" si="19"/>
        <v>0.8975683451639043</v>
      </c>
      <c r="X119" s="16">
        <f>SUM(T119/T117*100)</f>
        <v>21.469328517671084</v>
      </c>
    </row>
    <row r="120" spans="1:24" s="3" customFormat="1" ht="19.5" customHeight="1" thickBot="1">
      <c r="A120" s="98"/>
      <c r="B120" s="254"/>
      <c r="C120" s="305" t="s">
        <v>86</v>
      </c>
      <c r="D120" s="287"/>
      <c r="E120" s="322"/>
      <c r="F120" s="323"/>
      <c r="G120" s="60">
        <v>1417</v>
      </c>
      <c r="H120" s="17">
        <v>1182</v>
      </c>
      <c r="I120" s="152">
        <f t="shared" si="14"/>
        <v>235</v>
      </c>
      <c r="J120" s="19">
        <f t="shared" si="18"/>
        <v>19.881556683587135</v>
      </c>
      <c r="K120" s="86">
        <f>SUM(G120/G117*100)</f>
        <v>56.07439651760981</v>
      </c>
      <c r="L120" s="89"/>
      <c r="M120" s="187"/>
      <c r="N120" s="98"/>
      <c r="O120" s="254"/>
      <c r="P120" s="305" t="s">
        <v>86</v>
      </c>
      <c r="Q120" s="287"/>
      <c r="R120" s="322"/>
      <c r="S120" s="323"/>
      <c r="T120" s="20">
        <v>205132</v>
      </c>
      <c r="U120" s="21">
        <v>181841</v>
      </c>
      <c r="V120" s="85">
        <f t="shared" si="16"/>
        <v>23291</v>
      </c>
      <c r="W120" s="82">
        <f t="shared" si="19"/>
        <v>12.808442540461158</v>
      </c>
      <c r="X120" s="86">
        <f>SUM(T120/T117*100)</f>
        <v>48.48722651891912</v>
      </c>
    </row>
    <row r="121" spans="1:24" s="3" customFormat="1" ht="25.5" customHeight="1" thickTop="1">
      <c r="A121" s="354" t="s">
        <v>45</v>
      </c>
      <c r="B121" s="356" t="s">
        <v>3</v>
      </c>
      <c r="C121" s="357"/>
      <c r="D121" s="358"/>
      <c r="E121" s="359"/>
      <c r="F121" s="360"/>
      <c r="G121" s="125">
        <v>473</v>
      </c>
      <c r="H121" s="119">
        <v>964</v>
      </c>
      <c r="I121" s="31">
        <f t="shared" si="14"/>
        <v>-491</v>
      </c>
      <c r="J121" s="37">
        <f t="shared" si="18"/>
        <v>-50.933609958506224</v>
      </c>
      <c r="K121" s="28">
        <f>SUM(G121/G121*100)</f>
        <v>100</v>
      </c>
      <c r="L121" s="89"/>
      <c r="M121" s="187"/>
      <c r="N121" s="354" t="s">
        <v>45</v>
      </c>
      <c r="O121" s="356" t="s">
        <v>3</v>
      </c>
      <c r="P121" s="357"/>
      <c r="Q121" s="358"/>
      <c r="R121" s="359"/>
      <c r="S121" s="360"/>
      <c r="T121" s="153">
        <v>87284</v>
      </c>
      <c r="U121" s="154">
        <v>140186</v>
      </c>
      <c r="V121" s="155">
        <f t="shared" si="16"/>
        <v>-52902</v>
      </c>
      <c r="W121" s="74">
        <f t="shared" si="19"/>
        <v>-37.737006548442785</v>
      </c>
      <c r="X121" s="28">
        <f>SUM(T121/T121*100)</f>
        <v>100</v>
      </c>
    </row>
    <row r="122" spans="1:24" s="3" customFormat="1" ht="15" customHeight="1">
      <c r="A122" s="355"/>
      <c r="B122" s="244"/>
      <c r="C122" s="344" t="s">
        <v>37</v>
      </c>
      <c r="D122" s="345"/>
      <c r="E122" s="345"/>
      <c r="F122" s="346"/>
      <c r="G122" s="39">
        <f>11+2+150</f>
        <v>163</v>
      </c>
      <c r="H122" s="17">
        <v>380</v>
      </c>
      <c r="I122" s="18">
        <f t="shared" si="14"/>
        <v>-217</v>
      </c>
      <c r="J122" s="11">
        <f t="shared" si="18"/>
        <v>-57.10526315789474</v>
      </c>
      <c r="K122" s="16">
        <f>SUM(G122/G121*100)</f>
        <v>34.46088794926004</v>
      </c>
      <c r="L122" s="89"/>
      <c r="M122" s="187"/>
      <c r="N122" s="355"/>
      <c r="O122" s="244"/>
      <c r="P122" s="344" t="s">
        <v>37</v>
      </c>
      <c r="Q122" s="345"/>
      <c r="R122" s="345"/>
      <c r="S122" s="346"/>
      <c r="T122" s="20">
        <f>1257+990+23767</f>
        <v>26014</v>
      </c>
      <c r="U122" s="25">
        <v>43691</v>
      </c>
      <c r="V122" s="22">
        <f t="shared" si="16"/>
        <v>-17677</v>
      </c>
      <c r="W122" s="11">
        <f t="shared" si="19"/>
        <v>-40.459133459980315</v>
      </c>
      <c r="X122" s="16">
        <f>SUM(T122/T121*100)</f>
        <v>29.80385866825535</v>
      </c>
    </row>
    <row r="123" spans="1:24" s="3" customFormat="1" ht="15" customHeight="1">
      <c r="A123" s="273" t="s">
        <v>13</v>
      </c>
      <c r="B123" s="244"/>
      <c r="C123" s="344" t="s">
        <v>89</v>
      </c>
      <c r="D123" s="345"/>
      <c r="E123" s="345"/>
      <c r="F123" s="346"/>
      <c r="G123" s="41">
        <v>133</v>
      </c>
      <c r="H123" s="40">
        <v>268</v>
      </c>
      <c r="I123" s="18">
        <f t="shared" si="14"/>
        <v>-135</v>
      </c>
      <c r="J123" s="11">
        <f t="shared" si="18"/>
        <v>-50.37313432835821</v>
      </c>
      <c r="K123" s="16">
        <f>SUM(G123/G121*100)</f>
        <v>28.118393234672308</v>
      </c>
      <c r="L123" s="89"/>
      <c r="M123" s="187"/>
      <c r="N123" s="273" t="s">
        <v>13</v>
      </c>
      <c r="O123" s="244"/>
      <c r="P123" s="344" t="s">
        <v>89</v>
      </c>
      <c r="Q123" s="345"/>
      <c r="R123" s="345"/>
      <c r="S123" s="346"/>
      <c r="T123" s="24">
        <v>24391</v>
      </c>
      <c r="U123" s="25">
        <v>41264</v>
      </c>
      <c r="V123" s="22">
        <f t="shared" si="16"/>
        <v>-16873</v>
      </c>
      <c r="W123" s="11">
        <f t="shared" si="19"/>
        <v>-40.8903644823575</v>
      </c>
      <c r="X123" s="16">
        <f>SUM(T123/T121*100)</f>
        <v>27.9444113468677</v>
      </c>
    </row>
    <row r="124" spans="1:24" s="3" customFormat="1" ht="15" customHeight="1">
      <c r="A124" s="98"/>
      <c r="B124" s="244"/>
      <c r="C124" s="344" t="s">
        <v>93</v>
      </c>
      <c r="D124" s="345"/>
      <c r="E124" s="345"/>
      <c r="F124" s="346"/>
      <c r="G124" s="41">
        <v>88</v>
      </c>
      <c r="H124" s="40">
        <v>156</v>
      </c>
      <c r="I124" s="18">
        <f>SUM(G124-H124)</f>
        <v>-68</v>
      </c>
      <c r="J124" s="11">
        <f>SUM(G124/H124*100)-100</f>
        <v>-43.58974358974359</v>
      </c>
      <c r="K124" s="16">
        <f>SUM(G124/G121*100)</f>
        <v>18.6046511627907</v>
      </c>
      <c r="L124" s="89"/>
      <c r="M124" s="187"/>
      <c r="N124" s="98"/>
      <c r="O124" s="244"/>
      <c r="P124" s="344" t="s">
        <v>93</v>
      </c>
      <c r="Q124" s="345"/>
      <c r="R124" s="345"/>
      <c r="S124" s="346"/>
      <c r="T124" s="24">
        <v>17494</v>
      </c>
      <c r="U124" s="25">
        <v>27986</v>
      </c>
      <c r="V124" s="22">
        <f>SUM(T124-U124)</f>
        <v>-10492</v>
      </c>
      <c r="W124" s="11">
        <f>SUM(T124/U124*100)-100</f>
        <v>-37.490173658257696</v>
      </c>
      <c r="X124" s="16">
        <f>SUM(T124/T121*100)</f>
        <v>20.0426194949819</v>
      </c>
    </row>
    <row r="125" spans="1:24" s="3" customFormat="1" ht="15" customHeight="1">
      <c r="A125" s="98"/>
      <c r="B125" s="244"/>
      <c r="C125" s="344" t="s">
        <v>94</v>
      </c>
      <c r="D125" s="345"/>
      <c r="E125" s="345"/>
      <c r="F125" s="346"/>
      <c r="G125" s="39">
        <v>29</v>
      </c>
      <c r="H125" s="17">
        <v>49</v>
      </c>
      <c r="I125" s="18">
        <f>SUM(G125-H125)</f>
        <v>-20</v>
      </c>
      <c r="J125" s="11">
        <f>SUM(G125/H125*100)-100</f>
        <v>-40.816326530612244</v>
      </c>
      <c r="K125" s="16">
        <f>SUM(G125/G121*100)</f>
        <v>6.13107822410148</v>
      </c>
      <c r="L125" s="89"/>
      <c r="M125" s="187"/>
      <c r="N125" s="98"/>
      <c r="O125" s="244"/>
      <c r="P125" s="344" t="s">
        <v>94</v>
      </c>
      <c r="Q125" s="345"/>
      <c r="R125" s="345"/>
      <c r="S125" s="346"/>
      <c r="T125" s="20">
        <v>6832</v>
      </c>
      <c r="U125" s="21">
        <v>10143</v>
      </c>
      <c r="V125" s="22">
        <f>SUM(T125-U125)</f>
        <v>-3311</v>
      </c>
      <c r="W125" s="11">
        <f>SUM(T125/U125*100)-100</f>
        <v>-32.643202208419595</v>
      </c>
      <c r="X125" s="16">
        <f>SUM(T125/T121*100)</f>
        <v>7.827322304202373</v>
      </c>
    </row>
    <row r="126" spans="1:24" s="3" customFormat="1" ht="15" customHeight="1">
      <c r="A126" s="98"/>
      <c r="B126" s="244"/>
      <c r="C126" s="344" t="s">
        <v>95</v>
      </c>
      <c r="D126" s="345"/>
      <c r="E126" s="345"/>
      <c r="F126" s="346"/>
      <c r="G126" s="39">
        <f>23+18</f>
        <v>41</v>
      </c>
      <c r="H126" s="17">
        <v>74</v>
      </c>
      <c r="I126" s="18">
        <f>SUM(G126-H126)</f>
        <v>-33</v>
      </c>
      <c r="J126" s="11">
        <f>SUM(G126/H126*100)-100</f>
        <v>-44.5945945945946</v>
      </c>
      <c r="K126" s="16">
        <f>SUM(G126/G121*100)</f>
        <v>8.668076109936575</v>
      </c>
      <c r="L126" s="89"/>
      <c r="M126" s="187"/>
      <c r="N126" s="98"/>
      <c r="O126" s="244"/>
      <c r="P126" s="344" t="s">
        <v>95</v>
      </c>
      <c r="Q126" s="345"/>
      <c r="R126" s="345"/>
      <c r="S126" s="346"/>
      <c r="T126" s="20">
        <f>5361+3572</f>
        <v>8933</v>
      </c>
      <c r="U126" s="21">
        <v>12620</v>
      </c>
      <c r="V126" s="22">
        <f>SUM(T126-U126)</f>
        <v>-3687</v>
      </c>
      <c r="W126" s="11">
        <f>SUM(T126/U126*100)-100</f>
        <v>-29.215530903328045</v>
      </c>
      <c r="X126" s="16">
        <f>SUM(T126/T121*100)</f>
        <v>10.234407222400439</v>
      </c>
    </row>
    <row r="127" spans="1:24" s="3" customFormat="1" ht="15" customHeight="1" thickBot="1">
      <c r="A127" s="98"/>
      <c r="B127" s="244"/>
      <c r="C127" s="344" t="s">
        <v>96</v>
      </c>
      <c r="D127" s="345"/>
      <c r="E127" s="345"/>
      <c r="F127" s="346"/>
      <c r="G127" s="39">
        <f>10+5+4</f>
        <v>19</v>
      </c>
      <c r="H127" s="17">
        <v>37</v>
      </c>
      <c r="I127" s="18">
        <f>SUM(G127-H127)</f>
        <v>-18</v>
      </c>
      <c r="J127" s="11">
        <f>SUM(G127/H127*100)-100</f>
        <v>-48.64864864864865</v>
      </c>
      <c r="K127" s="16">
        <f>SUM(G127/G121*100)</f>
        <v>4.0169133192389</v>
      </c>
      <c r="L127" s="89"/>
      <c r="M127" s="187"/>
      <c r="N127" s="98"/>
      <c r="O127" s="244"/>
      <c r="P127" s="344" t="s">
        <v>96</v>
      </c>
      <c r="Q127" s="345"/>
      <c r="R127" s="345"/>
      <c r="S127" s="346"/>
      <c r="T127" s="20">
        <f>2764+398+458</f>
        <v>3620</v>
      </c>
      <c r="U127" s="21">
        <v>4482</v>
      </c>
      <c r="V127" s="22">
        <f>SUM(T127-U127)</f>
        <v>-862</v>
      </c>
      <c r="W127" s="11">
        <f>SUM(T127/U127*100)-100</f>
        <v>-19.23248549754574</v>
      </c>
      <c r="X127" s="16">
        <f>SUM(T127/T121*100)</f>
        <v>4.147380963292242</v>
      </c>
    </row>
    <row r="128" spans="1:24" s="3" customFormat="1" ht="25.5" customHeight="1" thickBot="1" thickTop="1">
      <c r="A128" s="241" t="s">
        <v>54</v>
      </c>
      <c r="B128" s="389" t="s">
        <v>55</v>
      </c>
      <c r="C128" s="390"/>
      <c r="D128" s="390"/>
      <c r="E128" s="390"/>
      <c r="F128" s="391"/>
      <c r="G128" s="241">
        <v>77147</v>
      </c>
      <c r="H128" s="242">
        <v>28576</v>
      </c>
      <c r="I128" s="156">
        <f t="shared" si="14"/>
        <v>48571</v>
      </c>
      <c r="J128" s="157">
        <f t="shared" si="18"/>
        <v>169.97130459126544</v>
      </c>
      <c r="K128" s="160" t="s">
        <v>114</v>
      </c>
      <c r="L128" s="186"/>
      <c r="M128" s="193"/>
      <c r="N128" s="241" t="s">
        <v>54</v>
      </c>
      <c r="O128" s="389" t="s">
        <v>55</v>
      </c>
      <c r="P128" s="390"/>
      <c r="Q128" s="390"/>
      <c r="R128" s="390"/>
      <c r="S128" s="391"/>
      <c r="T128" s="158">
        <v>19888089</v>
      </c>
      <c r="U128" s="159">
        <v>15620691</v>
      </c>
      <c r="V128" s="156">
        <f t="shared" si="16"/>
        <v>4267398</v>
      </c>
      <c r="W128" s="157">
        <f t="shared" si="19"/>
        <v>27.31888109175196</v>
      </c>
      <c r="X128" s="160" t="s">
        <v>114</v>
      </c>
    </row>
    <row r="129" spans="1:24" s="3" customFormat="1" ht="54" customHeight="1">
      <c r="A129" s="462" t="s">
        <v>134</v>
      </c>
      <c r="B129" s="463"/>
      <c r="C129" s="463"/>
      <c r="D129" s="463"/>
      <c r="E129" s="463"/>
      <c r="F129" s="463"/>
      <c r="G129" s="463"/>
      <c r="H129" s="463"/>
      <c r="I129" s="463"/>
      <c r="J129" s="463"/>
      <c r="K129" s="463"/>
      <c r="L129" s="186"/>
      <c r="M129" s="186"/>
      <c r="N129" s="462" t="s">
        <v>135</v>
      </c>
      <c r="O129" s="463"/>
      <c r="P129" s="463"/>
      <c r="Q129" s="463"/>
      <c r="R129" s="463"/>
      <c r="S129" s="463"/>
      <c r="T129" s="463"/>
      <c r="U129" s="463"/>
      <c r="V129" s="463"/>
      <c r="W129" s="463"/>
      <c r="X129" s="463"/>
    </row>
    <row r="130" spans="1:24" s="3" customFormat="1" ht="31.5" customHeight="1">
      <c r="A130" s="168" t="s">
        <v>58</v>
      </c>
      <c r="B130" s="168"/>
      <c r="C130" s="168"/>
      <c r="D130" s="168"/>
      <c r="E130" s="168"/>
      <c r="F130" s="168"/>
      <c r="G130" s="168"/>
      <c r="H130" s="168"/>
      <c r="I130" s="168"/>
      <c r="J130" s="168"/>
      <c r="K130" s="168"/>
      <c r="L130" s="186"/>
      <c r="M130" s="186"/>
      <c r="N130" s="168" t="s">
        <v>58</v>
      </c>
      <c r="O130" s="168"/>
      <c r="P130" s="168"/>
      <c r="Q130" s="168"/>
      <c r="R130" s="168"/>
      <c r="S130" s="168"/>
      <c r="T130" s="168"/>
      <c r="U130" s="168"/>
      <c r="V130" s="168"/>
      <c r="W130" s="168"/>
      <c r="X130" s="168"/>
    </row>
  </sheetData>
  <sheetProtection/>
  <mergeCells count="166">
    <mergeCell ref="A1:K1"/>
    <mergeCell ref="N1:X1"/>
    <mergeCell ref="A3:F4"/>
    <mergeCell ref="G3:K3"/>
    <mergeCell ref="N3:S4"/>
    <mergeCell ref="T3:X3"/>
    <mergeCell ref="A5:F5"/>
    <mergeCell ref="N5:S5"/>
    <mergeCell ref="B6:F6"/>
    <mergeCell ref="O6:S6"/>
    <mergeCell ref="A16:A18"/>
    <mergeCell ref="B16:F16"/>
    <mergeCell ref="N16:N18"/>
    <mergeCell ref="O16:S16"/>
    <mergeCell ref="C17:F17"/>
    <mergeCell ref="P17:S17"/>
    <mergeCell ref="C21:F21"/>
    <mergeCell ref="P21:S21"/>
    <mergeCell ref="C25:F25"/>
    <mergeCell ref="P25:S25"/>
    <mergeCell ref="C26:F26"/>
    <mergeCell ref="P26:S26"/>
    <mergeCell ref="A27:A28"/>
    <mergeCell ref="B27:F27"/>
    <mergeCell ref="N27:N28"/>
    <mergeCell ref="O27:S27"/>
    <mergeCell ref="C28:F28"/>
    <mergeCell ref="P28:S28"/>
    <mergeCell ref="D33:F33"/>
    <mergeCell ref="Q33:S33"/>
    <mergeCell ref="A34:A35"/>
    <mergeCell ref="B34:F34"/>
    <mergeCell ref="N34:N35"/>
    <mergeCell ref="O34:S34"/>
    <mergeCell ref="C35:F35"/>
    <mergeCell ref="P35:S35"/>
    <mergeCell ref="A42:K42"/>
    <mergeCell ref="N42:X42"/>
    <mergeCell ref="A44:F45"/>
    <mergeCell ref="G44:K44"/>
    <mergeCell ref="N44:S45"/>
    <mergeCell ref="T44:X44"/>
    <mergeCell ref="A46:F46"/>
    <mergeCell ref="N46:S46"/>
    <mergeCell ref="A47:A49"/>
    <mergeCell ref="B47:F47"/>
    <mergeCell ref="N47:N49"/>
    <mergeCell ref="O47:S47"/>
    <mergeCell ref="A52:A55"/>
    <mergeCell ref="B52:F52"/>
    <mergeCell ref="N52:N55"/>
    <mergeCell ref="O52:S52"/>
    <mergeCell ref="C53:F53"/>
    <mergeCell ref="P53:S53"/>
    <mergeCell ref="C54:F54"/>
    <mergeCell ref="P54:S54"/>
    <mergeCell ref="C55:D55"/>
    <mergeCell ref="P55:Q55"/>
    <mergeCell ref="C56:D56"/>
    <mergeCell ref="P56:Q56"/>
    <mergeCell ref="C57:D57"/>
    <mergeCell ref="P57:Q57"/>
    <mergeCell ref="C58:D58"/>
    <mergeCell ref="P58:Q58"/>
    <mergeCell ref="C67:F67"/>
    <mergeCell ref="P67:S67"/>
    <mergeCell ref="C59:F59"/>
    <mergeCell ref="P59:S59"/>
    <mergeCell ref="C60:D60"/>
    <mergeCell ref="P60:Q60"/>
    <mergeCell ref="C63:F63"/>
    <mergeCell ref="P63:S63"/>
    <mergeCell ref="C72:F72"/>
    <mergeCell ref="P72:S72"/>
    <mergeCell ref="B64:F64"/>
    <mergeCell ref="O64:S64"/>
    <mergeCell ref="B65:B67"/>
    <mergeCell ref="C65:F65"/>
    <mergeCell ref="O65:O67"/>
    <mergeCell ref="P65:S65"/>
    <mergeCell ref="C66:F66"/>
    <mergeCell ref="P66:S66"/>
    <mergeCell ref="A77:A78"/>
    <mergeCell ref="B77:F77"/>
    <mergeCell ref="N77:N78"/>
    <mergeCell ref="O77:S77"/>
    <mergeCell ref="O68:O72"/>
    <mergeCell ref="P68:S68"/>
    <mergeCell ref="C69:F69"/>
    <mergeCell ref="P69:S69"/>
    <mergeCell ref="D70:F70"/>
    <mergeCell ref="Q70:S70"/>
    <mergeCell ref="B68:B72"/>
    <mergeCell ref="C68:F68"/>
    <mergeCell ref="B80:F80"/>
    <mergeCell ref="O80:S80"/>
    <mergeCell ref="C87:F87"/>
    <mergeCell ref="P87:S87"/>
    <mergeCell ref="B73:F73"/>
    <mergeCell ref="O73:S73"/>
    <mergeCell ref="D71:F71"/>
    <mergeCell ref="Q71:S71"/>
    <mergeCell ref="A88:K88"/>
    <mergeCell ref="N88:X88"/>
    <mergeCell ref="A90:K90"/>
    <mergeCell ref="N90:X90"/>
    <mergeCell ref="A92:F93"/>
    <mergeCell ref="G92:K92"/>
    <mergeCell ref="N92:S93"/>
    <mergeCell ref="T92:X92"/>
    <mergeCell ref="A94:F94"/>
    <mergeCell ref="N94:S94"/>
    <mergeCell ref="A95:A96"/>
    <mergeCell ref="B95:F95"/>
    <mergeCell ref="N95:N96"/>
    <mergeCell ref="O95:S95"/>
    <mergeCell ref="C102:F102"/>
    <mergeCell ref="P102:S102"/>
    <mergeCell ref="A103:A104"/>
    <mergeCell ref="B103:F103"/>
    <mergeCell ref="N103:N104"/>
    <mergeCell ref="O103:S103"/>
    <mergeCell ref="C107:F107"/>
    <mergeCell ref="P107:S107"/>
    <mergeCell ref="C108:F108"/>
    <mergeCell ref="P108:S108"/>
    <mergeCell ref="A109:A110"/>
    <mergeCell ref="B109:F109"/>
    <mergeCell ref="N109:N110"/>
    <mergeCell ref="O109:S109"/>
    <mergeCell ref="C110:F110"/>
    <mergeCell ref="P110:S110"/>
    <mergeCell ref="C111:D111"/>
    <mergeCell ref="P111:Q111"/>
    <mergeCell ref="C112:D112"/>
    <mergeCell ref="P112:Q112"/>
    <mergeCell ref="C113:D113"/>
    <mergeCell ref="P113:Q113"/>
    <mergeCell ref="C114:D114"/>
    <mergeCell ref="P114:Q114"/>
    <mergeCell ref="C115:E115"/>
    <mergeCell ref="P115:R115"/>
    <mergeCell ref="C116:F116"/>
    <mergeCell ref="P116:S116"/>
    <mergeCell ref="C117:F117"/>
    <mergeCell ref="P117:S117"/>
    <mergeCell ref="A121:A122"/>
    <mergeCell ref="B121:F121"/>
    <mergeCell ref="N121:N122"/>
    <mergeCell ref="O121:S121"/>
    <mergeCell ref="C122:F122"/>
    <mergeCell ref="P122:S122"/>
    <mergeCell ref="C123:F123"/>
    <mergeCell ref="P123:S123"/>
    <mergeCell ref="C124:F124"/>
    <mergeCell ref="P124:S124"/>
    <mergeCell ref="C125:F125"/>
    <mergeCell ref="P125:S125"/>
    <mergeCell ref="C126:F126"/>
    <mergeCell ref="P126:S126"/>
    <mergeCell ref="C127:F127"/>
    <mergeCell ref="P127:S127"/>
    <mergeCell ref="B128:F128"/>
    <mergeCell ref="O128:S128"/>
    <mergeCell ref="A129:K129"/>
    <mergeCell ref="N129:X129"/>
  </mergeCells>
  <printOptions/>
  <pageMargins left="0.7" right="0.7" top="0.75" bottom="0.75" header="0.3" footer="0.3"/>
  <pageSetup horizontalDpi="600" verticalDpi="600" orientation="portrait" paperSize="9" scale="73" r:id="rId3"/>
  <rowBreaks count="2" manualBreakCount="2">
    <brk id="41" max="255" man="1"/>
    <brk id="89" max="255" man="1"/>
  </rowBreaks>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生計農林係</dc:creator>
  <cp:keywords/>
  <dc:description/>
  <cp:lastModifiedBy>420395</cp:lastModifiedBy>
  <cp:lastPrinted>2016-12-09T08:56:49Z</cp:lastPrinted>
  <dcterms:created xsi:type="dcterms:W3CDTF">2005-08-26T06:35:39Z</dcterms:created>
  <dcterms:modified xsi:type="dcterms:W3CDTF">2016-12-20T07:21:07Z</dcterms:modified>
  <cp:category/>
  <cp:version/>
  <cp:contentType/>
  <cp:contentStatus/>
</cp:coreProperties>
</file>